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9440" windowHeight="8955" firstSheet="1" activeTab="1"/>
  </bookViews>
  <sheets>
    <sheet name="chelt 2012 " sheetId="1" r:id="rId1"/>
    <sheet name="anexa 2 rom" sheetId="2" r:id="rId2"/>
  </sheets>
  <definedNames>
    <definedName name="_xlnm._FilterDatabase" localSheetId="0" hidden="1">'chelt 2012 '!$A$10:$AD$477</definedName>
    <definedName name="_xlnm.Print_Area" localSheetId="1">'anexa 2 rom'!$A$1:$Q$47</definedName>
    <definedName name="_xlnm.Print_Area" localSheetId="0">'chelt 2012 '!$A$1:$W$477</definedName>
    <definedName name="_xlnm.Print_Titles" localSheetId="0">'chelt 2012 '!$5:$9</definedName>
    <definedName name="uat" localSheetId="0">'chelt 2012 '!$A$5:$C$477</definedName>
  </definedNames>
  <calcPr fullCalcOnLoad="1"/>
</workbook>
</file>

<file path=xl/sharedStrings.xml><?xml version="1.0" encoding="utf-8"?>
<sst xmlns="http://schemas.openxmlformats.org/spreadsheetml/2006/main" count="602" uniqueCount="129">
  <si>
    <t xml:space="preserve">Denumirea                           </t>
  </si>
  <si>
    <t>Cod</t>
  </si>
  <si>
    <t>Raion</t>
  </si>
  <si>
    <t>Gr. pr.</t>
  </si>
  <si>
    <t>inclusiv:</t>
  </si>
  <si>
    <t>comp baza</t>
  </si>
  <si>
    <t>mijloace speciale</t>
  </si>
  <si>
    <t>fonduri speciale</t>
  </si>
  <si>
    <t>CHELTUIELI, TOTAL</t>
  </si>
  <si>
    <t>0</t>
  </si>
  <si>
    <t>Servicii de stat cu destinatie generala</t>
  </si>
  <si>
    <t>Apararea nationala</t>
  </si>
  <si>
    <t>Mentinerea ordinii publice si securitatea nationala</t>
  </si>
  <si>
    <t>Invatamint</t>
  </si>
  <si>
    <t>Cultura, arta, sportul si activitatile pentru tineret</t>
  </si>
  <si>
    <t>Ocrotirea sanatatii</t>
  </si>
  <si>
    <t>Asigurarea si asistenta sociala</t>
  </si>
  <si>
    <t>Agricultura,gospodaria silvica,gospodaria piscicola si</t>
  </si>
  <si>
    <t>Protectia mediului si hidrometeorologia</t>
  </si>
  <si>
    <t>Industrie si constructiile</t>
  </si>
  <si>
    <t>Transporturi,gospodaria drumurilor, comunicatii si informatica</t>
  </si>
  <si>
    <t xml:space="preserve">Gospodaria comunala si gospodaria de exploatare a fondului de locuinta </t>
  </si>
  <si>
    <t>Alte servicii legate de activitatea economica</t>
  </si>
  <si>
    <t>Activitatile si serviciile neatribuite la alte grupe principale</t>
  </si>
  <si>
    <t>1 Chisinau</t>
  </si>
  <si>
    <t>12  Balti</t>
  </si>
  <si>
    <t>30  Anenii Noi</t>
  </si>
  <si>
    <t>Gospodaria comunala si gospodaria de exploatare a fondului de locuinte</t>
  </si>
  <si>
    <t>31  Basarabeasca</t>
  </si>
  <si>
    <t>32  Briceni</t>
  </si>
  <si>
    <t>34  Cahul</t>
  </si>
  <si>
    <t>36  Cantemir</t>
  </si>
  <si>
    <t>38  Calarasi</t>
  </si>
  <si>
    <t>40  Causeni</t>
  </si>
  <si>
    <t>43  U.T.A  Gagauzia</t>
  </si>
  <si>
    <t xml:space="preserve">44  Cimislia </t>
  </si>
  <si>
    <t>48  Criuleni</t>
  </si>
  <si>
    <t xml:space="preserve">50  Donduseni </t>
  </si>
  <si>
    <t xml:space="preserve">52  Drochia </t>
  </si>
  <si>
    <t xml:space="preserve">53  Dubasari </t>
  </si>
  <si>
    <t xml:space="preserve">55  Edinet </t>
  </si>
  <si>
    <t xml:space="preserve">57  Falesti </t>
  </si>
  <si>
    <t xml:space="preserve">59  Floresti </t>
  </si>
  <si>
    <t>61  Glodeni</t>
  </si>
  <si>
    <t>65  Hincesti</t>
  </si>
  <si>
    <t xml:space="preserve">67  Ialoveni </t>
  </si>
  <si>
    <t xml:space="preserve">69  Leova </t>
  </si>
  <si>
    <t>71  Nisporeni</t>
  </si>
  <si>
    <t>72  Ocnita</t>
  </si>
  <si>
    <t>74  Orhei</t>
  </si>
  <si>
    <t>76  Rezina</t>
  </si>
  <si>
    <t>79  Riscani</t>
  </si>
  <si>
    <t>81  Singerei</t>
  </si>
  <si>
    <t>84  Soroca</t>
  </si>
  <si>
    <t>84</t>
  </si>
  <si>
    <t>13</t>
  </si>
  <si>
    <t>19</t>
  </si>
  <si>
    <t>86  Straseni</t>
  </si>
  <si>
    <t>86</t>
  </si>
  <si>
    <t>88  Soldanesti</t>
  </si>
  <si>
    <t>89  Stefan Voda</t>
  </si>
  <si>
    <t>91  Taraclia</t>
  </si>
  <si>
    <t>93  Telenesti</t>
  </si>
  <si>
    <t>95  Ungheni</t>
  </si>
  <si>
    <t>(toate componentele)</t>
  </si>
  <si>
    <r>
      <t xml:space="preserve">Aprobat 2012 </t>
    </r>
    <r>
      <rPr>
        <i/>
        <sz val="10"/>
        <rFont val="Cambria"/>
        <family val="1"/>
      </rPr>
      <t>(propunere APL)</t>
    </r>
  </si>
  <si>
    <t xml:space="preserve"> 2011 - 2012</t>
  </si>
  <si>
    <t xml:space="preserve">Cheltuieli de personal BUAT  </t>
  </si>
  <si>
    <r>
      <t xml:space="preserve">Proiect 2012 </t>
    </r>
    <r>
      <rPr>
        <i/>
        <sz val="10"/>
        <rFont val="Cambria"/>
        <family val="1"/>
      </rPr>
      <t>(estimat 2012)</t>
    </r>
  </si>
  <si>
    <r>
      <t xml:space="preserve">Limite 2011  </t>
    </r>
    <r>
      <rPr>
        <b/>
        <sz val="8"/>
        <rFont val="Cambria"/>
        <family val="1"/>
      </rPr>
      <t>(HG nr.589 din 29.07.11)</t>
    </r>
  </si>
  <si>
    <r>
      <t xml:space="preserve">limita 2012 </t>
    </r>
    <r>
      <rPr>
        <i/>
        <sz val="10"/>
        <rFont val="Cambria"/>
        <family val="1"/>
      </rPr>
      <t>(dir de ram)</t>
    </r>
  </si>
  <si>
    <t>57</t>
  </si>
  <si>
    <t>3</t>
  </si>
  <si>
    <t>Total</t>
  </si>
  <si>
    <r>
      <rPr>
        <b/>
        <sz val="10"/>
        <rFont val="Cambria"/>
        <family val="1"/>
      </rPr>
      <t xml:space="preserve">Devieri (+/-)                                    </t>
    </r>
    <r>
      <rPr>
        <i/>
        <sz val="10"/>
        <rFont val="Cambria"/>
        <family val="1"/>
      </rPr>
      <t xml:space="preserve"> limita 2012 (repartiz dir. de ram) fata de proiect 2012 (estimat)</t>
    </r>
  </si>
  <si>
    <t>Nota</t>
  </si>
  <si>
    <t xml:space="preserve"> - in anul 2012 nu au mijl speciale</t>
  </si>
  <si>
    <t xml:space="preserve"> - mijloace necesare pu deschiderea institutiilor noi de asistenta sociale care au fost acceptate ca unitati (323 unitati)</t>
  </si>
  <si>
    <t xml:space="preserve"> - la gr.pr. 13 si 19 dir de ramura nu mi-au dat nimic la mijloace speciale, dar la aceste ramuri sunt aprobate atit unitati cit si cheltuieli (am discutat cu dna Galina - persoana responsabila de nr. De unitati, care mi-a spus ca la aceste grupe din mijloace speciale sunt incadrati functionari publici + pers de deserv  </t>
  </si>
  <si>
    <t xml:space="preserve"> - la mijloace speciale am stabilit la nivel de limita 2011</t>
  </si>
  <si>
    <t xml:space="preserve">nu este inclusa Casa mun. specializata a copilului Chisinau- instit ce nu participa in relatiile interbugetare, executat in 2011  - 4394,1 mii lei (cheltuielile aprobate pe anul 2012 pe mun Chisinau nu sunt introduse in baza de date). Nr. de unitati aprobat pe anul 2012 pu institutie - 163, rel incadr in ianuarie -154 unitati </t>
  </si>
  <si>
    <t>Anexa nr.2</t>
  </si>
  <si>
    <t>la Hotărîrea  Guvernului</t>
  </si>
  <si>
    <t>Limita numărului de unităţi de personal</t>
  </si>
  <si>
    <t>Limita cheltuielilor de personal                                     (mii lei)</t>
  </si>
  <si>
    <t>Total,</t>
  </si>
  <si>
    <t>Anenii-Noi</t>
  </si>
  <si>
    <t>Basarabeasca</t>
  </si>
  <si>
    <t>Briceni</t>
  </si>
  <si>
    <t>Cahul</t>
  </si>
  <si>
    <t>Cantemir</t>
  </si>
  <si>
    <t>Călăraşi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</si>
  <si>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</si>
  <si>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</si>
  <si>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</si>
  <si>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</si>
  <si>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</si>
  <si>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</si>
  <si>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</si>
  <si>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</si>
  <si>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</si>
  <si>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</si>
  <si>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</si>
  <si>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</si>
  <si>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</si>
  <si>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</si>
  <si>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</si>
  <si>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</si>
  <si>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</si>
  <si>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</si>
  <si>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</si>
  <si>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</si>
  <si>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</si>
  <si>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</si>
  <si>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</si>
  <si>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</si>
  <si>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</si>
  <si>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</si>
  <si>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UTA Gagauzia</t>
  </si>
  <si>
    <t>mun. Bălţi</t>
  </si>
  <si>
    <t>mun. Chişinău</t>
  </si>
  <si>
    <t>01</t>
  </si>
  <si>
    <t>nr._____ din ____________2012</t>
  </si>
  <si>
    <t>Limitele numărului de unităţi de personal şi ale cheltuielilor de personal în sectorul bugetar pentru autorităţile administraţiei publice locale pe anul 2012</t>
  </si>
  <si>
    <t>inclusiv pentru învățămînt*</t>
  </si>
  <si>
    <t>total</t>
  </si>
  <si>
    <t>* În limitele numărului de unități de personal și ale cheltuielilor de personal pentru învățămînt sunt incluși și indicii pentru școlile sportive</t>
  </si>
  <si>
    <t>Cod                      autoritate publică</t>
  </si>
  <si>
    <t>Unitate administrativ - teritorială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</si>
</sst>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name val="Arial Cyr"/>
      <family val="0"/>
    </font>
    <font>
      <b/>
      <sz val="16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4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/>
    </border>
    <border>
      <left style="hair"/>
      <right/>
      <top style="thin"/>
      <bottom style="hair"/>
    </border>
    <border>
      <left style="hair"/>
      <right style="thin"/>
      <top style="hair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8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3" xfId="42" applyNumberFormat="1" applyFont="1" applyBorder="1" applyAlignment="1">
      <alignment/>
    </xf>
    <xf numFmtId="164" fontId="4" fillId="0" borderId="12" xfId="42" applyNumberFormat="1" applyFont="1" applyBorder="1" applyAlignment="1">
      <alignment/>
    </xf>
    <xf numFmtId="164" fontId="3" fillId="0" borderId="13" xfId="42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9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3" fillId="0" borderId="18" xfId="0" applyFont="1" applyBorder="1" applyAlignment="1">
      <alignment/>
    </xf>
    <xf numFmtId="0" fontId="9" fillId="33" borderId="18" xfId="0" applyFont="1" applyFill="1" applyBorder="1" applyAlignment="1">
      <alignment/>
    </xf>
    <xf numFmtId="164" fontId="4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7" fillId="33" borderId="18" xfId="0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4" fillId="0" borderId="18" xfId="42" applyNumberFormat="1" applyFont="1" applyBorder="1" applyAlignment="1">
      <alignment/>
    </xf>
    <xf numFmtId="164" fontId="3" fillId="0" borderId="18" xfId="42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7" fillId="33" borderId="20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49" fontId="7" fillId="33" borderId="20" xfId="0" applyNumberFormat="1" applyFont="1" applyFill="1" applyBorder="1" applyAlignment="1">
      <alignment wrapText="1"/>
    </xf>
    <xf numFmtId="0" fontId="7" fillId="33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0" fontId="4" fillId="5" borderId="20" xfId="0" applyFont="1" applyFill="1" applyBorder="1" applyAlignment="1">
      <alignment wrapText="1"/>
    </xf>
    <xf numFmtId="164" fontId="4" fillId="5" borderId="13" xfId="0" applyNumberFormat="1" applyFont="1" applyFill="1" applyBorder="1" applyAlignment="1">
      <alignment/>
    </xf>
    <xf numFmtId="164" fontId="4" fillId="5" borderId="10" xfId="0" applyNumberFormat="1" applyFont="1" applyFill="1" applyBorder="1" applyAlignment="1">
      <alignment/>
    </xf>
    <xf numFmtId="164" fontId="4" fillId="5" borderId="12" xfId="0" applyNumberFormat="1" applyFont="1" applyFill="1" applyBorder="1" applyAlignment="1">
      <alignment/>
    </xf>
    <xf numFmtId="164" fontId="4" fillId="5" borderId="18" xfId="0" applyNumberFormat="1" applyFont="1" applyFill="1" applyBorder="1" applyAlignment="1">
      <alignment/>
    </xf>
    <xf numFmtId="164" fontId="4" fillId="5" borderId="11" xfId="0" applyNumberFormat="1" applyFont="1" applyFill="1" applyBorder="1" applyAlignment="1">
      <alignment/>
    </xf>
    <xf numFmtId="0" fontId="6" fillId="5" borderId="0" xfId="0" applyFont="1" applyFill="1" applyAlignment="1">
      <alignment/>
    </xf>
    <xf numFmtId="0" fontId="3" fillId="5" borderId="20" xfId="0" applyFont="1" applyFill="1" applyBorder="1" applyAlignment="1">
      <alignment wrapText="1"/>
    </xf>
    <xf numFmtId="164" fontId="3" fillId="5" borderId="13" xfId="0" applyNumberFormat="1" applyFont="1" applyFill="1" applyBorder="1" applyAlignment="1">
      <alignment/>
    </xf>
    <xf numFmtId="164" fontId="3" fillId="5" borderId="10" xfId="0" applyNumberFormat="1" applyFont="1" applyFill="1" applyBorder="1" applyAlignment="1">
      <alignment/>
    </xf>
    <xf numFmtId="164" fontId="3" fillId="5" borderId="12" xfId="0" applyNumberFormat="1" applyFont="1" applyFill="1" applyBorder="1" applyAlignment="1">
      <alignment/>
    </xf>
    <xf numFmtId="164" fontId="3" fillId="5" borderId="18" xfId="0" applyNumberFormat="1" applyFont="1" applyFill="1" applyBorder="1" applyAlignment="1">
      <alignment/>
    </xf>
    <xf numFmtId="164" fontId="3" fillId="5" borderId="11" xfId="0" applyNumberFormat="1" applyFont="1" applyFill="1" applyBorder="1" applyAlignment="1">
      <alignment/>
    </xf>
    <xf numFmtId="0" fontId="0" fillId="5" borderId="0" xfId="0" applyFill="1" applyAlignment="1">
      <alignment/>
    </xf>
    <xf numFmtId="49" fontId="4" fillId="5" borderId="13" xfId="0" applyNumberFormat="1" applyFont="1" applyFill="1" applyBorder="1" applyAlignment="1">
      <alignment horizontal="center" vertical="center"/>
    </xf>
    <xf numFmtId="49" fontId="4" fillId="5" borderId="12" xfId="0" applyNumberFormat="1" applyFont="1" applyFill="1" applyBorder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/>
    </xf>
    <xf numFmtId="0" fontId="12" fillId="0" borderId="27" xfId="0" applyFont="1" applyBorder="1" applyAlignment="1">
      <alignment/>
    </xf>
    <xf numFmtId="164" fontId="13" fillId="0" borderId="13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2" xfId="0" applyFont="1" applyBorder="1" applyAlignment="1">
      <alignment/>
    </xf>
    <xf numFmtId="0" fontId="17" fillId="33" borderId="20" xfId="0" applyFont="1" applyFill="1" applyBorder="1" applyAlignment="1">
      <alignment wrapText="1"/>
    </xf>
    <xf numFmtId="49" fontId="17" fillId="33" borderId="13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13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3" fillId="0" borderId="20" xfId="0" applyFont="1" applyBorder="1" applyAlignment="1">
      <alignment wrapText="1"/>
    </xf>
    <xf numFmtId="49" fontId="13" fillId="0" borderId="13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64" fillId="0" borderId="10" xfId="0" applyNumberFormat="1" applyFont="1" applyBorder="1" applyAlignment="1">
      <alignment/>
    </xf>
    <xf numFmtId="164" fontId="64" fillId="0" borderId="11" xfId="0" applyNumberFormat="1" applyFont="1" applyBorder="1" applyAlignment="1">
      <alignment/>
    </xf>
    <xf numFmtId="164" fontId="65" fillId="0" borderId="18" xfId="0" applyNumberFormat="1" applyFont="1" applyBorder="1" applyAlignment="1">
      <alignment/>
    </xf>
    <xf numFmtId="164" fontId="65" fillId="0" borderId="10" xfId="0" applyNumberFormat="1" applyFont="1" applyBorder="1" applyAlignment="1">
      <alignment/>
    </xf>
    <xf numFmtId="164" fontId="65" fillId="0" borderId="11" xfId="0" applyNumberFormat="1" applyFont="1" applyBorder="1" applyAlignment="1">
      <alignment/>
    </xf>
    <xf numFmtId="164" fontId="64" fillId="0" borderId="18" xfId="0" applyNumberFormat="1" applyFont="1" applyBorder="1" applyAlignment="1">
      <alignment/>
    </xf>
    <xf numFmtId="0" fontId="12" fillId="6" borderId="0" xfId="0" applyFont="1" applyFill="1" applyAlignment="1">
      <alignment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164" fontId="13" fillId="6" borderId="13" xfId="0" applyNumberFormat="1" applyFont="1" applyFill="1" applyBorder="1" applyAlignment="1">
      <alignment/>
    </xf>
    <xf numFmtId="164" fontId="13" fillId="6" borderId="10" xfId="0" applyNumberFormat="1" applyFont="1" applyFill="1" applyBorder="1" applyAlignment="1">
      <alignment/>
    </xf>
    <xf numFmtId="164" fontId="13" fillId="6" borderId="11" xfId="0" applyNumberFormat="1" applyFont="1" applyFill="1" applyBorder="1" applyAlignment="1">
      <alignment/>
    </xf>
    <xf numFmtId="164" fontId="12" fillId="6" borderId="13" xfId="0" applyNumberFormat="1" applyFont="1" applyFill="1" applyBorder="1" applyAlignment="1">
      <alignment/>
    </xf>
    <xf numFmtId="164" fontId="12" fillId="6" borderId="10" xfId="0" applyNumberFormat="1" applyFont="1" applyFill="1" applyBorder="1" applyAlignment="1">
      <alignment/>
    </xf>
    <xf numFmtId="164" fontId="12" fillId="6" borderId="11" xfId="0" applyNumberFormat="1" applyFont="1" applyFill="1" applyBorder="1" applyAlignment="1">
      <alignment/>
    </xf>
    <xf numFmtId="0" fontId="12" fillId="0" borderId="33" xfId="0" applyFont="1" applyBorder="1" applyAlignment="1">
      <alignment/>
    </xf>
    <xf numFmtId="0" fontId="15" fillId="6" borderId="23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/>
    </xf>
    <xf numFmtId="0" fontId="12" fillId="6" borderId="32" xfId="0" applyFont="1" applyFill="1" applyBorder="1" applyAlignment="1">
      <alignment/>
    </xf>
    <xf numFmtId="164" fontId="4" fillId="6" borderId="13" xfId="0" applyNumberFormat="1" applyFont="1" applyFill="1" applyBorder="1" applyAlignment="1">
      <alignment/>
    </xf>
    <xf numFmtId="164" fontId="4" fillId="6" borderId="10" xfId="0" applyNumberFormat="1" applyFont="1" applyFill="1" applyBorder="1" applyAlignment="1">
      <alignment/>
    </xf>
    <xf numFmtId="164" fontId="3" fillId="6" borderId="13" xfId="0" applyNumberFormat="1" applyFont="1" applyFill="1" applyBorder="1" applyAlignment="1">
      <alignment/>
    </xf>
    <xf numFmtId="164" fontId="3" fillId="6" borderId="10" xfId="0" applyNumberFormat="1" applyFont="1" applyFill="1" applyBorder="1" applyAlignment="1">
      <alignment/>
    </xf>
    <xf numFmtId="164" fontId="64" fillId="6" borderId="13" xfId="0" applyNumberFormat="1" applyFont="1" applyFill="1" applyBorder="1" applyAlignment="1">
      <alignment/>
    </xf>
    <xf numFmtId="164" fontId="64" fillId="6" borderId="10" xfId="0" applyNumberFormat="1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164" fontId="3" fillId="6" borderId="13" xfId="0" applyNumberFormat="1" applyFont="1" applyFill="1" applyBorder="1" applyAlignment="1">
      <alignment/>
    </xf>
    <xf numFmtId="164" fontId="4" fillId="6" borderId="13" xfId="42" applyNumberFormat="1" applyFont="1" applyFill="1" applyBorder="1" applyAlignment="1">
      <alignment/>
    </xf>
    <xf numFmtId="164" fontId="4" fillId="6" borderId="10" xfId="42" applyNumberFormat="1" applyFont="1" applyFill="1" applyBorder="1" applyAlignment="1">
      <alignment/>
    </xf>
    <xf numFmtId="164" fontId="3" fillId="6" borderId="13" xfId="42" applyNumberFormat="1" applyFont="1" applyFill="1" applyBorder="1" applyAlignment="1">
      <alignment/>
    </xf>
    <xf numFmtId="164" fontId="3" fillId="6" borderId="16" xfId="0" applyNumberFormat="1" applyFont="1" applyFill="1" applyBorder="1" applyAlignment="1">
      <alignment/>
    </xf>
    <xf numFmtId="164" fontId="3" fillId="6" borderId="14" xfId="0" applyNumberFormat="1" applyFont="1" applyFill="1" applyBorder="1" applyAlignment="1">
      <alignment/>
    </xf>
    <xf numFmtId="164" fontId="66" fillId="6" borderId="10" xfId="0" applyNumberFormat="1" applyFont="1" applyFill="1" applyBorder="1" applyAlignment="1">
      <alignment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2" fillId="6" borderId="33" xfId="0" applyFont="1" applyFill="1" applyBorder="1" applyAlignment="1">
      <alignment/>
    </xf>
    <xf numFmtId="164" fontId="4" fillId="6" borderId="11" xfId="0" applyNumberFormat="1" applyFont="1" applyFill="1" applyBorder="1" applyAlignment="1">
      <alignment/>
    </xf>
    <xf numFmtId="164" fontId="3" fillId="6" borderId="11" xfId="0" applyNumberFormat="1" applyFont="1" applyFill="1" applyBorder="1" applyAlignment="1">
      <alignment/>
    </xf>
    <xf numFmtId="164" fontId="64" fillId="6" borderId="11" xfId="0" applyNumberFormat="1" applyFont="1" applyFill="1" applyBorder="1" applyAlignment="1">
      <alignment/>
    </xf>
    <xf numFmtId="164" fontId="4" fillId="6" borderId="11" xfId="42" applyNumberFormat="1" applyFont="1" applyFill="1" applyBorder="1" applyAlignment="1">
      <alignment/>
    </xf>
    <xf numFmtId="164" fontId="3" fillId="6" borderId="17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164" fontId="3" fillId="0" borderId="2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6" fillId="0" borderId="38" xfId="0" applyFont="1" applyBorder="1" applyAlignment="1">
      <alignment horizontal="left" wrapText="1"/>
    </xf>
    <xf numFmtId="0" fontId="26" fillId="0" borderId="39" xfId="0" applyFont="1" applyBorder="1" applyAlignment="1">
      <alignment horizontal="left" wrapText="1"/>
    </xf>
    <xf numFmtId="49" fontId="26" fillId="0" borderId="21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2" fillId="0" borderId="0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/>
    </xf>
    <xf numFmtId="164" fontId="26" fillId="0" borderId="13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/>
    </xf>
    <xf numFmtId="164" fontId="26" fillId="0" borderId="18" xfId="0" applyNumberFormat="1" applyFont="1" applyFill="1" applyBorder="1" applyAlignment="1">
      <alignment/>
    </xf>
    <xf numFmtId="164" fontId="26" fillId="0" borderId="16" xfId="0" applyNumberFormat="1" applyFont="1" applyFill="1" applyBorder="1" applyAlignment="1">
      <alignment/>
    </xf>
    <xf numFmtId="164" fontId="25" fillId="0" borderId="15" xfId="0" applyNumberFormat="1" applyFont="1" applyFill="1" applyBorder="1" applyAlignment="1">
      <alignment/>
    </xf>
    <xf numFmtId="164" fontId="26" fillId="0" borderId="19" xfId="0" applyNumberFormat="1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left"/>
    </xf>
    <xf numFmtId="1" fontId="23" fillId="0" borderId="13" xfId="0" applyNumberFormat="1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1" fontId="23" fillId="0" borderId="18" xfId="0" applyNumberFormat="1" applyFont="1" applyFill="1" applyBorder="1" applyAlignment="1">
      <alignment/>
    </xf>
    <xf numFmtId="164" fontId="23" fillId="0" borderId="1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7" fillId="0" borderId="38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/>
    </xf>
    <xf numFmtId="0" fontId="12" fillId="0" borderId="44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44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12" fillId="6" borderId="4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4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7"/>
  <sheetViews>
    <sheetView showZeros="0" view="pageBreakPreview" zoomScale="81" zoomScaleSheetLayoutView="81" zoomScalePageLayoutView="0" workbookViewId="0" topLeftCell="A1">
      <pane xSplit="3" ySplit="11" topLeftCell="I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" sqref="A3:W3"/>
    </sheetView>
  </sheetViews>
  <sheetFormatPr defaultColWidth="9.00390625" defaultRowHeight="12.75"/>
  <cols>
    <col min="1" max="1" width="33.25390625" style="97" customWidth="1"/>
    <col min="2" max="2" width="5.125" style="98" customWidth="1"/>
    <col min="3" max="3" width="4.875" style="97" customWidth="1"/>
    <col min="4" max="4" width="11.125" style="97" customWidth="1"/>
    <col min="5" max="5" width="10.375" style="97" bestFit="1" customWidth="1"/>
    <col min="6" max="6" width="9.375" style="97" customWidth="1"/>
    <col min="7" max="7" width="9.375" style="97" bestFit="1" customWidth="1"/>
    <col min="8" max="8" width="10.375" style="97" customWidth="1"/>
    <col min="9" max="9" width="9.75390625" style="97" customWidth="1"/>
    <col min="10" max="10" width="8.75390625" style="97" customWidth="1"/>
    <col min="11" max="11" width="8.125" style="97" customWidth="1"/>
    <col min="12" max="12" width="10.25390625" style="97" customWidth="1"/>
    <col min="13" max="13" width="9.25390625" style="97" customWidth="1"/>
    <col min="14" max="14" width="8.25390625" style="97" customWidth="1"/>
    <col min="15" max="15" width="7.625" style="97" customWidth="1"/>
    <col min="16" max="16" width="10.25390625" style="130" customWidth="1"/>
    <col min="17" max="17" width="9.25390625" style="130" customWidth="1"/>
    <col min="18" max="18" width="8.25390625" style="130" customWidth="1"/>
    <col min="19" max="19" width="7.625" style="130" customWidth="1"/>
    <col min="20" max="20" width="9.75390625" style="1" customWidth="1"/>
    <col min="21" max="21" width="8.25390625" style="0" customWidth="1"/>
    <col min="23" max="24" width="35.25390625" style="0" customWidth="1"/>
  </cols>
  <sheetData>
    <row r="1" spans="1:23" ht="20.25">
      <c r="A1" s="229" t="s">
        <v>67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</row>
    <row r="2" spans="1:23" ht="20.25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23" ht="20.25" customHeight="1">
      <c r="A3" s="228" t="s">
        <v>64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5" spans="1:23" s="160" customFormat="1" ht="20.25" customHeight="1">
      <c r="A5" s="230" t="s">
        <v>0</v>
      </c>
      <c r="B5" s="233" t="s">
        <v>1</v>
      </c>
      <c r="C5" s="234"/>
      <c r="D5" s="235" t="s">
        <v>69</v>
      </c>
      <c r="E5" s="238" t="s">
        <v>4</v>
      </c>
      <c r="F5" s="238"/>
      <c r="G5" s="234"/>
      <c r="H5" s="235" t="s">
        <v>68</v>
      </c>
      <c r="I5" s="238" t="s">
        <v>4</v>
      </c>
      <c r="J5" s="238"/>
      <c r="K5" s="234"/>
      <c r="L5" s="239" t="s">
        <v>65</v>
      </c>
      <c r="M5" s="238" t="s">
        <v>4</v>
      </c>
      <c r="N5" s="238"/>
      <c r="O5" s="242"/>
      <c r="P5" s="255" t="s">
        <v>70</v>
      </c>
      <c r="Q5" s="258" t="s">
        <v>4</v>
      </c>
      <c r="R5" s="258"/>
      <c r="S5" s="259"/>
      <c r="T5" s="233" t="s">
        <v>74</v>
      </c>
      <c r="U5" s="238"/>
      <c r="V5" s="242"/>
      <c r="W5" s="230" t="s">
        <v>75</v>
      </c>
    </row>
    <row r="6" spans="1:23" s="97" customFormat="1" ht="22.5" customHeight="1">
      <c r="A6" s="231"/>
      <c r="B6" s="243" t="s">
        <v>2</v>
      </c>
      <c r="C6" s="245" t="s">
        <v>3</v>
      </c>
      <c r="D6" s="236"/>
      <c r="E6" s="247" t="s">
        <v>5</v>
      </c>
      <c r="F6" s="247" t="s">
        <v>6</v>
      </c>
      <c r="G6" s="249" t="s">
        <v>7</v>
      </c>
      <c r="H6" s="236"/>
      <c r="I6" s="247" t="s">
        <v>5</v>
      </c>
      <c r="J6" s="247" t="s">
        <v>6</v>
      </c>
      <c r="K6" s="249" t="s">
        <v>7</v>
      </c>
      <c r="L6" s="240"/>
      <c r="M6" s="247" t="s">
        <v>5</v>
      </c>
      <c r="N6" s="247" t="s">
        <v>6</v>
      </c>
      <c r="O6" s="251" t="s">
        <v>7</v>
      </c>
      <c r="P6" s="256"/>
      <c r="Q6" s="260" t="s">
        <v>5</v>
      </c>
      <c r="R6" s="260" t="s">
        <v>6</v>
      </c>
      <c r="S6" s="262" t="s">
        <v>7</v>
      </c>
      <c r="T6" s="253"/>
      <c r="U6" s="247"/>
      <c r="V6" s="251"/>
      <c r="W6" s="231"/>
    </row>
    <row r="7" spans="1:23" s="160" customFormat="1" ht="15.75" customHeight="1">
      <c r="A7" s="231"/>
      <c r="B7" s="243"/>
      <c r="C7" s="245"/>
      <c r="D7" s="236"/>
      <c r="E7" s="247"/>
      <c r="F7" s="247"/>
      <c r="G7" s="249"/>
      <c r="H7" s="236"/>
      <c r="I7" s="247"/>
      <c r="J7" s="247"/>
      <c r="K7" s="249"/>
      <c r="L7" s="240"/>
      <c r="M7" s="247"/>
      <c r="N7" s="247"/>
      <c r="O7" s="251"/>
      <c r="P7" s="256"/>
      <c r="Q7" s="260"/>
      <c r="R7" s="260"/>
      <c r="S7" s="262"/>
      <c r="T7" s="253" t="s">
        <v>73</v>
      </c>
      <c r="U7" s="247" t="s">
        <v>4</v>
      </c>
      <c r="V7" s="251"/>
      <c r="W7" s="231"/>
    </row>
    <row r="8" spans="1:23" s="160" customFormat="1" ht="25.5">
      <c r="A8" s="232"/>
      <c r="B8" s="244"/>
      <c r="C8" s="246"/>
      <c r="D8" s="237"/>
      <c r="E8" s="248"/>
      <c r="F8" s="248"/>
      <c r="G8" s="250"/>
      <c r="H8" s="237"/>
      <c r="I8" s="248"/>
      <c r="J8" s="248"/>
      <c r="K8" s="250"/>
      <c r="L8" s="241"/>
      <c r="M8" s="248"/>
      <c r="N8" s="248"/>
      <c r="O8" s="252"/>
      <c r="P8" s="257"/>
      <c r="Q8" s="261"/>
      <c r="R8" s="261"/>
      <c r="S8" s="263"/>
      <c r="T8" s="254"/>
      <c r="U8" s="158" t="s">
        <v>5</v>
      </c>
      <c r="V8" s="159" t="s">
        <v>6</v>
      </c>
      <c r="W8" s="232"/>
    </row>
    <row r="9" spans="1:23" s="161" customFormat="1" ht="11.25" customHeight="1">
      <c r="A9" s="99">
        <v>1</v>
      </c>
      <c r="B9" s="83">
        <v>2</v>
      </c>
      <c r="C9" s="84">
        <v>3</v>
      </c>
      <c r="D9" s="101">
        <v>4</v>
      </c>
      <c r="E9" s="85">
        <v>5</v>
      </c>
      <c r="F9" s="85">
        <v>6</v>
      </c>
      <c r="G9" s="84">
        <f>F9+1</f>
        <v>7</v>
      </c>
      <c r="H9" s="101">
        <v>8</v>
      </c>
      <c r="I9" s="85">
        <v>9</v>
      </c>
      <c r="J9" s="85">
        <v>10</v>
      </c>
      <c r="K9" s="84">
        <v>11</v>
      </c>
      <c r="L9" s="100">
        <v>12</v>
      </c>
      <c r="M9" s="85">
        <v>13</v>
      </c>
      <c r="N9" s="85">
        <v>14</v>
      </c>
      <c r="O9" s="86">
        <v>15</v>
      </c>
      <c r="P9" s="140">
        <v>16</v>
      </c>
      <c r="Q9" s="131">
        <v>17</v>
      </c>
      <c r="R9" s="131">
        <v>18</v>
      </c>
      <c r="S9" s="132">
        <v>19</v>
      </c>
      <c r="T9" s="101">
        <v>20</v>
      </c>
      <c r="U9" s="85">
        <v>21</v>
      </c>
      <c r="V9" s="86">
        <v>22</v>
      </c>
      <c r="W9" s="99">
        <v>23</v>
      </c>
    </row>
    <row r="10" spans="1:23" ht="12.75">
      <c r="A10" s="102"/>
      <c r="B10" s="87"/>
      <c r="C10" s="88"/>
      <c r="D10" s="105"/>
      <c r="E10" s="104"/>
      <c r="F10" s="104"/>
      <c r="G10" s="88"/>
      <c r="H10" s="105"/>
      <c r="I10" s="104"/>
      <c r="J10" s="104"/>
      <c r="K10" s="88"/>
      <c r="L10" s="103"/>
      <c r="M10" s="104"/>
      <c r="N10" s="104"/>
      <c r="O10" s="139"/>
      <c r="P10" s="141"/>
      <c r="Q10" s="142"/>
      <c r="R10" s="142"/>
      <c r="S10" s="170"/>
      <c r="T10" s="51"/>
      <c r="U10" s="192"/>
      <c r="V10" s="193"/>
      <c r="W10" s="194"/>
    </row>
    <row r="11" spans="1:23" s="58" customFormat="1" ht="12.75">
      <c r="A11" s="52" t="s">
        <v>8</v>
      </c>
      <c r="B11" s="66"/>
      <c r="C11" s="67" t="s">
        <v>9</v>
      </c>
      <c r="D11" s="53">
        <f aca="true" t="shared" si="0" ref="D11:G12">D27+D43+D54+D67+D79+D92+D105+D117+D130+D143+D157+D170+D183+D195+D208+D221+D235+D248+D261+D273+D287+D300+D313+D325+D337+D350+D363+D376+D389+D402+D415+D427+D440+D453+D466</f>
        <v>4210824.799999999</v>
      </c>
      <c r="E11" s="54">
        <f t="shared" si="0"/>
        <v>4188110.1999999993</v>
      </c>
      <c r="F11" s="54">
        <f t="shared" si="0"/>
        <v>21200.100000000002</v>
      </c>
      <c r="G11" s="55">
        <f t="shared" si="0"/>
        <v>1514.5</v>
      </c>
      <c r="H11" s="53">
        <f>SUM(H12:H25)</f>
        <v>4573874.2</v>
      </c>
      <c r="I11" s="54">
        <f>SUM(I12:I25)</f>
        <v>4551159.600000001</v>
      </c>
      <c r="J11" s="54">
        <f>SUM(J12:J25)</f>
        <v>21200.100000000002</v>
      </c>
      <c r="K11" s="55">
        <f>SUM(K12:K25)</f>
        <v>1514.5</v>
      </c>
      <c r="L11" s="56">
        <f aca="true" t="shared" si="1" ref="L11:O12">L27+L43+L54+L67+L79+L92+L105+L117+L130+L143+L157+L170+L183+L195+L208+L221+L235+L248+L261+L273+L287+L300+L313+L325+L337+L350+L363+L376+L389+L402+L415+L427+L440+L453+L466</f>
        <v>3564111.7000000007</v>
      </c>
      <c r="M11" s="54">
        <f t="shared" si="1"/>
        <v>3546680.5000000005</v>
      </c>
      <c r="N11" s="54">
        <f t="shared" si="1"/>
        <v>17024.000000000004</v>
      </c>
      <c r="O11" s="57">
        <f t="shared" si="1"/>
        <v>407.2</v>
      </c>
      <c r="P11" s="143">
        <f>P27+P43+P54+P67+P79+P92+P105+P117+P130+P143+P157+P170+P183+P195+P208+P221+P235+P248+P261+P273+P287+P300+P313+P325+P337+P350+P363+P376+P389+P402+P415+P427+P440+P453+P466</f>
        <v>4564940.3</v>
      </c>
      <c r="Q11" s="144">
        <f>Q27+Q43+Q54+Q67+Q79+Q92+Q105+Q117+Q130+Q143+Q157+Q170+Q183+Q195+Q208+Q221+Q235+Q248+Q261+Q273+Q287+Q300+Q313+Q325+Q337+Q350+Q363+Q376+Q389+Q402+Q415+Q427+Q440+Q453+Q466</f>
        <v>4542259.6</v>
      </c>
      <c r="R11" s="144">
        <f>R27+R43+R54+R67+R79+R92+R105+R117+R130+R143+R157+R170+R183+R195+R208+R221+R235+R248+R261+R273+R287+R300+R313+R325+R337+R350+R363+R376+R389+R402+R415+R427+R440+R453+R466</f>
        <v>21166.2</v>
      </c>
      <c r="S11" s="171">
        <f>S27+S43+S54+S67+S79+S92+S105+S117+S130+S143+S157+S170+S183+S195+S208+S221+S235+S248+S261+S273+S287+S300+S313+S325+S337+S350+S363+S376+S389+S402+S415+S427+S440+S453+S466</f>
        <v>1514.5</v>
      </c>
      <c r="T11" s="176">
        <f>P11-H11</f>
        <v>-8933.900000000373</v>
      </c>
      <c r="U11" s="162">
        <f>Q11-I11</f>
        <v>-8900.000000000931</v>
      </c>
      <c r="V11" s="185">
        <f>R11-J11</f>
        <v>-33.900000000001455</v>
      </c>
      <c r="W11" s="187"/>
    </row>
    <row r="12" spans="1:23" s="65" customFormat="1" ht="12.75">
      <c r="A12" s="59" t="s">
        <v>10</v>
      </c>
      <c r="B12" s="68"/>
      <c r="C12" s="69">
        <v>1</v>
      </c>
      <c r="D12" s="60">
        <f t="shared" si="0"/>
        <v>295343.4999999999</v>
      </c>
      <c r="E12" s="61">
        <f t="shared" si="0"/>
        <v>292823.3999999999</v>
      </c>
      <c r="F12" s="61">
        <f t="shared" si="0"/>
        <v>2520.1</v>
      </c>
      <c r="G12" s="62">
        <f t="shared" si="0"/>
        <v>0</v>
      </c>
      <c r="H12" s="60">
        <f>I12+J12+K12</f>
        <v>376036.9999999999</v>
      </c>
      <c r="I12" s="61">
        <v>373516.8999999999</v>
      </c>
      <c r="J12" s="61">
        <v>2520.1</v>
      </c>
      <c r="K12" s="62">
        <v>0</v>
      </c>
      <c r="L12" s="63">
        <f t="shared" si="1"/>
        <v>313879.2</v>
      </c>
      <c r="M12" s="61">
        <f t="shared" si="1"/>
        <v>312384.10000000003</v>
      </c>
      <c r="N12" s="61">
        <f t="shared" si="1"/>
        <v>1495.1</v>
      </c>
      <c r="O12" s="64">
        <f t="shared" si="1"/>
        <v>0</v>
      </c>
      <c r="P12" s="145">
        <f>P28+P44+P55+P68+P80+P93+P106+P118+P131+P144+P158+P171+P184+P196+P209+P222+P236+P249+P262+P274+P288+P301+P314+P326+P338+P351+P364+P377+P390+P403+P416+P428+P441+P454+P467</f>
        <v>376036.79999999993</v>
      </c>
      <c r="Q12" s="146">
        <f>Q28+Q44+Q55+Q68+Q80+Q93+Q106+Q118+Q131+Q144+Q158+Q171+Q184+Q196+Q209+Q222+Q236+Q249+Q262+Q274+Q288+Q301+Q314+Q326+Q338+Q351+Q364+Q377+Q390+Q403+Q416+Q428+Q441+Q454+Q467</f>
        <v>373516.7</v>
      </c>
      <c r="R12" s="157">
        <f>R28+R44+R55+R68+R80+R93+R106+R118+R131+R144+R158+R171+R184+R196+R209+R222+R236+R249+R262+R274+R288+R301+R314+R326+R338+R351+R364+R377+R390+R403+R416+R428+R441+R454+R467</f>
        <v>2520.1</v>
      </c>
      <c r="S12" s="172">
        <f>S28+S44+S55+S68+S80+S93+S106+S118+S131+S144+S158+S171+S184+S196+S209+S222+S236+S249+S262+S274+S288+S301+S314+S326+S338+S351+S364+S377+S390+S403+S416+S428+S441+S454+S467</f>
        <v>0</v>
      </c>
      <c r="T12" s="122">
        <f>P12-H12</f>
        <v>-0.19999999995343387</v>
      </c>
      <c r="U12" s="9">
        <f>Q12-I12</f>
        <v>-0.1999999998952262</v>
      </c>
      <c r="V12" s="164">
        <f>R12-J12</f>
        <v>0</v>
      </c>
      <c r="W12" s="195">
        <f>S12-K12</f>
        <v>0</v>
      </c>
    </row>
    <row r="13" spans="1:23" s="65" customFormat="1" ht="12.75">
      <c r="A13" s="59" t="s">
        <v>11</v>
      </c>
      <c r="B13" s="68"/>
      <c r="C13" s="69">
        <v>3</v>
      </c>
      <c r="D13" s="60">
        <f>D29+D45+D56+D69+D81+D94+D119+D132+D145+D159+D172+D197+D210+D223+D237+D250+D275+D289+D302+D339+D352+D365+D378+D391+D404+D417+D429+D442++D455+D468</f>
        <v>1703.3999999999999</v>
      </c>
      <c r="E13" s="61">
        <f>E29+E45+E56+E69+E81+E94+E119+E132+E145+E159+E172+E197+E210+E223+E237+E250+E275+E289+E302+E339+E352+E365+E378+E391+E404+E417+E429+E442++E455+E468</f>
        <v>1703.3999999999999</v>
      </c>
      <c r="F13" s="61">
        <f>F29+F45+F56+F69+F81+F94+F119+F132+F145+F159+F172+F197+F210+F223+F237+F250+F275+F289+F302+F339+F352+F365+F378+F391+F404+F417+F429+F442++F455+F468</f>
        <v>0</v>
      </c>
      <c r="G13" s="62">
        <f>G29+G45+G56+G69+G81+G94+G119+G132+G145+G159+G172+G197+G210+G223+G237+G250+G275+G289+G302+G339+G352+G365+G378+G391+G404+G417+G429+G442++G455+G468</f>
        <v>0</v>
      </c>
      <c r="H13" s="60">
        <f aca="true" t="shared" si="2" ref="H13:H25">I13+J13+K13</f>
        <v>1953.3999999999999</v>
      </c>
      <c r="I13" s="61">
        <v>1953.3999999999999</v>
      </c>
      <c r="J13" s="61">
        <v>0</v>
      </c>
      <c r="K13" s="62">
        <v>0</v>
      </c>
      <c r="L13" s="60">
        <f aca="true" t="shared" si="3" ref="L13:S13">L29+L45+L56+L69+L81+L94+L119+L132+L145+L159+L172+L197+L210+L223+L237+L250+L275+L289+L302+L339+L352+L365+L378+L391+L404+L417+L429+L442++L455+L468</f>
        <v>1857.1999999999998</v>
      </c>
      <c r="M13" s="61">
        <f t="shared" si="3"/>
        <v>1857.1999999999998</v>
      </c>
      <c r="N13" s="61">
        <f t="shared" si="3"/>
        <v>0</v>
      </c>
      <c r="O13" s="62">
        <f t="shared" si="3"/>
        <v>0</v>
      </c>
      <c r="P13" s="145">
        <f t="shared" si="3"/>
        <v>1953.3999999999999</v>
      </c>
      <c r="Q13" s="146">
        <f t="shared" si="3"/>
        <v>1953.3999999999999</v>
      </c>
      <c r="R13" s="146">
        <f t="shared" si="3"/>
        <v>0</v>
      </c>
      <c r="S13" s="172">
        <f t="shared" si="3"/>
        <v>0</v>
      </c>
      <c r="T13" s="122">
        <f aca="true" t="shared" si="4" ref="T13:T25">P13-H13</f>
        <v>0</v>
      </c>
      <c r="U13" s="9">
        <f aca="true" t="shared" si="5" ref="U13:U25">Q13-I13</f>
        <v>0</v>
      </c>
      <c r="V13" s="164">
        <f aca="true" t="shared" si="6" ref="V13:V25">R13-J13</f>
        <v>0</v>
      </c>
      <c r="W13" s="195">
        <f aca="true" t="shared" si="7" ref="W13:W25">S13-K13</f>
        <v>0</v>
      </c>
    </row>
    <row r="14" spans="1:23" s="65" customFormat="1" ht="25.5">
      <c r="A14" s="59" t="s">
        <v>12</v>
      </c>
      <c r="B14" s="68"/>
      <c r="C14" s="69">
        <v>5</v>
      </c>
      <c r="D14" s="60">
        <f aca="true" t="shared" si="8" ref="D14:G16">D30+D46+D57+D70+D82+D95+D107+D120+D133+D146+D160+D173+D185+D198+D211+D224+D238+D251+D263+D276+D290+D303+D315+D327+D340+D353+D366+D379+D392+D405+D418+D430+D443+D456+D469</f>
        <v>208437.50000000003</v>
      </c>
      <c r="E14" s="61">
        <f t="shared" si="8"/>
        <v>208403.60000000003</v>
      </c>
      <c r="F14" s="61">
        <f t="shared" si="8"/>
        <v>33.9</v>
      </c>
      <c r="G14" s="62">
        <f t="shared" si="8"/>
        <v>0</v>
      </c>
      <c r="H14" s="60">
        <f t="shared" si="2"/>
        <v>249490.00000000003</v>
      </c>
      <c r="I14" s="61">
        <v>249456.10000000003</v>
      </c>
      <c r="J14" s="61">
        <v>33.9</v>
      </c>
      <c r="K14" s="62">
        <v>0</v>
      </c>
      <c r="L14" s="63">
        <f aca="true" t="shared" si="9" ref="L14:O16">L30+L46+L57+L70+L82+L95+L107+L120+L133+L146+L160+L173+L185+L198+L211+L224+L238+L251+L263+L276+L290+L303+L315+L327+L340+L353+L366+L379+L392+L405+L418+L430+L443+L456+L469</f>
        <v>145534.3</v>
      </c>
      <c r="M14" s="61">
        <f t="shared" si="9"/>
        <v>145526.3</v>
      </c>
      <c r="N14" s="61">
        <f t="shared" si="9"/>
        <v>8</v>
      </c>
      <c r="O14" s="64">
        <f t="shared" si="9"/>
        <v>0</v>
      </c>
      <c r="P14" s="145">
        <f>P30+P46+P57+P70+P82+P95+P107+P120+P133+P146+P160+P173+P185+P198+P211+P224+P238+P251+P263+P276+P290+P303+P315+P327+P340+P353+P366+P379+P392+P405+P418+P430+P443+P456+P469</f>
        <v>249850.09999999995</v>
      </c>
      <c r="Q14" s="146">
        <f>Q30+Q46+Q57+Q70+Q82+Q95+Q107+Q120+Q133+Q146+Q160+Q173+Q185+Q198+Q211+Q224+Q238+Q251+Q263+Q276+Q290+Q303+Q315+Q327+Q340+Q353+Q366+Q379+Q392+Q405+Q418+Q430+Q443+Q456+Q469</f>
        <v>249850.09999999995</v>
      </c>
      <c r="R14" s="146">
        <f>R30+R46+R57+R70+R82+R95+R107+R120+R133+R146+R160+R173+R185+R198+R211+R224+R238+R251+R263+R276+R290+R303+R315+R327+R340+R353+R366+R379+R392+R405+R418+R430+R443+R456+R469</f>
        <v>0</v>
      </c>
      <c r="S14" s="172">
        <f>S30+S46+S57+S70+S82+S95+S107+S120+S133+S146+S160+S173+S185+S198+S211+S224+S238+S251+S263+S276+S290+S303+S315+S327+S340+S353+S366+S379+S392+S405+S418+S430+S443+S456+S469</f>
        <v>0</v>
      </c>
      <c r="T14" s="122">
        <f t="shared" si="4"/>
        <v>360.0999999999185</v>
      </c>
      <c r="U14" s="9">
        <f t="shared" si="5"/>
        <v>393.9999999999127</v>
      </c>
      <c r="V14" s="164">
        <f t="shared" si="6"/>
        <v>-33.9</v>
      </c>
      <c r="W14" s="195" t="s">
        <v>76</v>
      </c>
    </row>
    <row r="15" spans="1:23" s="65" customFormat="1" ht="12.75">
      <c r="A15" s="59" t="s">
        <v>13</v>
      </c>
      <c r="B15" s="68"/>
      <c r="C15" s="69">
        <v>6</v>
      </c>
      <c r="D15" s="60">
        <f t="shared" si="8"/>
        <v>3285102.9</v>
      </c>
      <c r="E15" s="61">
        <f t="shared" si="8"/>
        <v>3274649.699999999</v>
      </c>
      <c r="F15" s="61">
        <f t="shared" si="8"/>
        <v>10453.200000000003</v>
      </c>
      <c r="G15" s="62">
        <f t="shared" si="8"/>
        <v>0</v>
      </c>
      <c r="H15" s="60">
        <f t="shared" si="2"/>
        <v>3452541.9000000004</v>
      </c>
      <c r="I15" s="61">
        <v>3442088.7</v>
      </c>
      <c r="J15" s="61">
        <v>10453.200000000003</v>
      </c>
      <c r="K15" s="62">
        <v>0</v>
      </c>
      <c r="L15" s="63">
        <f t="shared" si="9"/>
        <v>2658642.9</v>
      </c>
      <c r="M15" s="61">
        <f t="shared" si="9"/>
        <v>2649087.6</v>
      </c>
      <c r="N15" s="61">
        <f t="shared" si="9"/>
        <v>9555.3</v>
      </c>
      <c r="O15" s="64">
        <f t="shared" si="9"/>
        <v>0</v>
      </c>
      <c r="P15" s="145">
        <f>P31+P47+P58+P71+P83+P96+P108+P121+P134+P147+P161+P174+P186+P199+P212+P225+P239+P252+P264+P277+P291+P304+P316+P328+P341+P354+P367+P380+P393+P406+P419+P431+P444+P457+P470</f>
        <v>3452547.0000000005</v>
      </c>
      <c r="Q15" s="146">
        <f>Q31+Q47+Q58+Q71+Q83+Q96+Q108+Q121+Q134+Q147+Q161+Q174+Q186+Q199+Q212+Q225+Q239+Q252+Q264+Q277+Q291+Q304+Q316+Q328+Q341+Q354+Q367+Q380+Q393+Q406+Q419+Q431+Q444+Q457+Q470</f>
        <v>3442093.799999999</v>
      </c>
      <c r="R15" s="146">
        <f>R31+R47+R58+R71+R83+R96+R108+R121+R134+R147+R161+R174+R186+R199+R212+R225+R239+R252+R264+R277+R291+R304+R316+R328+R341+R354+R367+R380+R393+R406+R419+R431+R444+R457+R470</f>
        <v>10453.200000000003</v>
      </c>
      <c r="S15" s="172">
        <f>S31+S47+S58+S71+S83+S96+S108+S121+S134+S147+S161+S174+S186+S199+S212+S225+S239+S252+S264+S277+S291+S304+S316+S328+S341+S354+S367+S380+S393+S406+S419+S431+S444+S457+S470</f>
        <v>0</v>
      </c>
      <c r="T15" s="122">
        <f t="shared" si="4"/>
        <v>5.100000000093132</v>
      </c>
      <c r="U15" s="9">
        <f t="shared" si="5"/>
        <v>5.099999998696148</v>
      </c>
      <c r="V15" s="164">
        <f t="shared" si="6"/>
        <v>0</v>
      </c>
      <c r="W15" s="195">
        <f t="shared" si="7"/>
        <v>0</v>
      </c>
    </row>
    <row r="16" spans="1:23" s="65" customFormat="1" ht="25.5">
      <c r="A16" s="59" t="s">
        <v>14</v>
      </c>
      <c r="B16" s="68"/>
      <c r="C16" s="69">
        <v>8</v>
      </c>
      <c r="D16" s="60">
        <f t="shared" si="8"/>
        <v>170540.80000000002</v>
      </c>
      <c r="E16" s="61">
        <f t="shared" si="8"/>
        <v>167743.9</v>
      </c>
      <c r="F16" s="61">
        <f t="shared" si="8"/>
        <v>2796.9000000000005</v>
      </c>
      <c r="G16" s="62">
        <f t="shared" si="8"/>
        <v>0</v>
      </c>
      <c r="H16" s="60">
        <f t="shared" si="2"/>
        <v>200104</v>
      </c>
      <c r="I16" s="61">
        <v>197307.1</v>
      </c>
      <c r="J16" s="61">
        <v>2796.9000000000005</v>
      </c>
      <c r="K16" s="62">
        <v>0</v>
      </c>
      <c r="L16" s="63">
        <f t="shared" si="9"/>
        <v>195376.8</v>
      </c>
      <c r="M16" s="61">
        <f t="shared" si="9"/>
        <v>193734.9</v>
      </c>
      <c r="N16" s="61">
        <f t="shared" si="9"/>
        <v>1641.9000000000003</v>
      </c>
      <c r="O16" s="64">
        <f t="shared" si="9"/>
        <v>0</v>
      </c>
      <c r="P16" s="145">
        <f>P32+P48+P59+P72+P84+P97+P109+P122+P135+P148+P162+P175+P187+P200+P213+P226+P240+P253+P265+P278+P292+P305+P317+P329+P342+P355+P368+P381+P394+P407+P420+P432+P445+P458+P471</f>
        <v>200099.20000000004</v>
      </c>
      <c r="Q16" s="146">
        <f>Q32+Q48+Q59+Q72+Q84+Q97+Q109+Q122+Q135+Q148+Q162+Q175+Q187+Q200+Q213+Q226+Q240+Q253+Q265+Q278+Q292+Q305+Q317+Q329+Q342+Q355+Q368+Q381+Q394+Q407+Q420+Q432+Q445+Q458+Q471</f>
        <v>197302.30000000005</v>
      </c>
      <c r="R16" s="146">
        <f>R32+R48+R59+R72+R84+R97+R109+R122+R135+R148+R162+R175+R187+R200+R213+R226+R240+R253+R265+R278+R292+R305+R317+R329+R342+R355+R368+R381+R394+R407+R420+R432+R445+R458+R471</f>
        <v>2796.9000000000005</v>
      </c>
      <c r="S16" s="172">
        <f>S32+S48+S59+S72+S84+S97+S109+S122+S135+S148+S162+S175+S187+S200+S213+S226+S240+S253+S265+S278+S292+S305+S317+S329+S342+S355+S368+S381+S394+S407+S420+S432+S445+S458+S471</f>
        <v>0</v>
      </c>
      <c r="T16" s="122">
        <f t="shared" si="4"/>
        <v>-4.799999999959255</v>
      </c>
      <c r="U16" s="9">
        <f t="shared" si="5"/>
        <v>-4.799999999959255</v>
      </c>
      <c r="V16" s="164">
        <f t="shared" si="6"/>
        <v>0</v>
      </c>
      <c r="W16" s="195">
        <f t="shared" si="7"/>
        <v>0</v>
      </c>
    </row>
    <row r="17" spans="1:23" s="65" customFormat="1" ht="102">
      <c r="A17" s="59" t="s">
        <v>15</v>
      </c>
      <c r="B17" s="68"/>
      <c r="C17" s="69">
        <v>9</v>
      </c>
      <c r="D17" s="60">
        <f>D33+D49+D149</f>
        <v>5587.500000000001</v>
      </c>
      <c r="E17" s="61">
        <f>E33+E49+E149</f>
        <v>5587.500000000001</v>
      </c>
      <c r="F17" s="61">
        <f>F33+F49+F149</f>
        <v>0</v>
      </c>
      <c r="G17" s="62">
        <f>G33+G49+G149</f>
        <v>0</v>
      </c>
      <c r="H17" s="60">
        <f t="shared" si="2"/>
        <v>5901.200000000001</v>
      </c>
      <c r="I17" s="61">
        <v>5901.200000000001</v>
      </c>
      <c r="J17" s="61">
        <v>0</v>
      </c>
      <c r="K17" s="62">
        <v>0</v>
      </c>
      <c r="L17" s="63">
        <f>L33+L49+L149</f>
        <v>155.7</v>
      </c>
      <c r="M17" s="61">
        <f>M33+M49+M149</f>
        <v>155.7</v>
      </c>
      <c r="N17" s="61">
        <f>N33+N49+N149</f>
        <v>0</v>
      </c>
      <c r="O17" s="64">
        <f>O33+O49+O149</f>
        <v>0</v>
      </c>
      <c r="P17" s="145">
        <f>P33+P49+P149</f>
        <v>1474.4</v>
      </c>
      <c r="Q17" s="146">
        <f>Q33+Q49+Q149</f>
        <v>1474.4</v>
      </c>
      <c r="R17" s="146">
        <f>R33+R49+R149</f>
        <v>0</v>
      </c>
      <c r="S17" s="172">
        <f>S33+S49+S149</f>
        <v>0</v>
      </c>
      <c r="T17" s="122">
        <f t="shared" si="4"/>
        <v>-4426.800000000001</v>
      </c>
      <c r="U17" s="9">
        <f t="shared" si="5"/>
        <v>-4426.800000000001</v>
      </c>
      <c r="V17" s="164">
        <f t="shared" si="6"/>
        <v>0</v>
      </c>
      <c r="W17" s="195" t="s">
        <v>80</v>
      </c>
    </row>
    <row r="18" spans="1:23" s="65" customFormat="1" ht="38.25">
      <c r="A18" s="59" t="s">
        <v>16</v>
      </c>
      <c r="B18" s="68"/>
      <c r="C18" s="69">
        <v>10</v>
      </c>
      <c r="D18" s="60">
        <f>D34+D50+D60+D73+D85+D98+D110+D123+D136+D150+D163+D176+D188+D201+D214+D227+D241+D254+D266+D279+D293+D306+D318+D330+D343+D356+D369+D382+D395+D408+D421+D433+D446+D459+D472</f>
        <v>147200.60000000003</v>
      </c>
      <c r="E18" s="61">
        <f>E34+E50+E60+E73+E85+E98+E110+E123+E136+E150+E163+E176+E188+E201+E214+E227+E241+E254+E266+E279+E293+E306+E318+E330+E343+E356+E369+E382+E395+E408+E421+E433+E446+E459+E472</f>
        <v>145032.9</v>
      </c>
      <c r="F18" s="61">
        <f>F34+F50+F60+F73+F85+F98+F110+F123+F136+F150+F163+F176+F188+F201+F214+F227+F241+F254+F266+F279+F293+F306+F318+F330+F343+F356+F369+F382+F395+F408+F421+F433+F446+F459+F472</f>
        <v>653.1999999999999</v>
      </c>
      <c r="G18" s="62">
        <f>G34+G50+G60+G73+G85+G98+G110+G123+G136+G150+G163+G176+G188+G201+G214+G227+G241+G254+G266+G279+G293+G306+G318+G330+G343+G356+G369+G382+G395+G408+G421+G433+G446+G459+G472</f>
        <v>1514.5</v>
      </c>
      <c r="H18" s="60">
        <f t="shared" si="2"/>
        <v>169401.80000000002</v>
      </c>
      <c r="I18" s="61">
        <v>167234.1</v>
      </c>
      <c r="J18" s="61">
        <v>653.1999999999999</v>
      </c>
      <c r="K18" s="62">
        <v>1514.5</v>
      </c>
      <c r="L18" s="63">
        <f>L34+L50+L60+L73+L85+L98+L110+L123+L136+L150+L163+L176+L188+L201+L214+L227+L241+L254+L266+L279+L293+L306+L318+L330+L343+L356+L369+L382+L395+L408+L421+L433+L446+L459+L472</f>
        <v>150405.7</v>
      </c>
      <c r="M18" s="61">
        <f>M34+M50+M60+M73+M85+M98+M110+M123+M136+M150+M163+M176+M188+M201+M214+M227+M241+M254+M266+M279+M293+M306+M318+M330+M343+M356+M369+M382+M395+M408+M421+M433+M446+M459+M472</f>
        <v>149509.10000000003</v>
      </c>
      <c r="N18" s="61">
        <f>N34+N50+N60+N73+N85+N98+N110+N123+N136+N150+N163+N176+N188+N201+N214+N227+N241+N254+N266+N279+N293+N306+N318+N330+N343+N356+N369+N382+N395+N408+N421+N433+N446+N459+N472</f>
        <v>489.40000000000003</v>
      </c>
      <c r="O18" s="64">
        <f>O34+O50+O60+O73+O85+O98+O110+O123+O136+O150+O163+O176+O188+O201+O214+O227+O241+O254+O266+O279+O293+O306+O318+O330+O343+O356+O369+O382+O395+O408+O421+O433+O446+O459+O472</f>
        <v>407.2</v>
      </c>
      <c r="P18" s="145">
        <f>P34+P50+P60+P73+P85+P98+P110+P123+P136+P150+P163+P176+P188+P201+P214+P227+P241+P254+P266+P279+P293+P306+P318+P330+P343+P356+P369+P382+P395+P408+P421+P433+P446+P459+P472</f>
        <v>175901.80000000002</v>
      </c>
      <c r="Q18" s="146">
        <f>Q34+Q50+Q60+Q73+Q85+Q98+Q110+Q123+Q136+Q150+Q163+Q176+Q188+Q201+Q214+Q227+Q241+Q254+Q266+Q279+Q293+Q306+Q318+Q330+Q343+Q356+Q369+Q382+Q395+Q408+Q421+Q433+Q446+Q459+Q472</f>
        <v>173734.1</v>
      </c>
      <c r="R18" s="146">
        <f>R34+R50+R60+R73+R85+R98+R110+R123+R136+R150+R163+R176+R188+R201+R214+R227+R241+R254+R266+R279+R293+R306+R318+R330+R343+R356+R369+R382+R395+R408+R421+R433+R446+R459+R472</f>
        <v>653.1999999999999</v>
      </c>
      <c r="S18" s="172">
        <f>S34+S50+S60+S73+S85+S98+S110+S123+S136+S150+S163+S176+S188+S201+S214+S227+S241+S254+S266+S279+S293+S306+S318+S330+S343+S356+S369+S382+S395+S408+S421+S433+S446+S459+S472</f>
        <v>1514.5</v>
      </c>
      <c r="T18" s="122">
        <f t="shared" si="4"/>
        <v>6500</v>
      </c>
      <c r="U18" s="9">
        <f t="shared" si="5"/>
        <v>6500</v>
      </c>
      <c r="V18" s="164">
        <f t="shared" si="6"/>
        <v>0</v>
      </c>
      <c r="W18" s="195" t="s">
        <v>77</v>
      </c>
    </row>
    <row r="19" spans="1:23" s="65" customFormat="1" ht="25.5">
      <c r="A19" s="59" t="s">
        <v>17</v>
      </c>
      <c r="B19" s="68"/>
      <c r="C19" s="69">
        <v>11</v>
      </c>
      <c r="D19" s="60">
        <f>D35+D61+D74+D86+D99+D111+D124+D137+D151+D164+D177+D189+D202+D215+D228+D242+D255+D267+D280+D294+D307+D319+D331+D344+D357+D370+D383+D396+D409+D422+D434+D447+D460+D473</f>
        <v>9429.899999999994</v>
      </c>
      <c r="E19" s="61">
        <f>E35+E61+E74+E86+E99+E111+E124+E137+E151+E164+E177+E189+E202+E215+E228+E242+E255+E267+E280+E294+E307+E319+E331+E344+E357+E370+E383+E396+E409+E422+E434+E447+E460+E473</f>
        <v>9429.899999999994</v>
      </c>
      <c r="F19" s="61">
        <f>F35+F61+F74+F86+F99+F111+F124+F137+F151+F164+F177+F189+F202+F215+F228+F242+F255+F267+F280+F294+F307+F319+F331+F344+F357+F370+F383+F396+F409+F422+F434+F447+F460+F473</f>
        <v>0</v>
      </c>
      <c r="G19" s="62">
        <f>G35+G61+G74+G86+G99+G111+G124+G137+G151+G164+G177+G189+G202+G215+G228+G242+G255+G267+G280+G294+G307+G319+G331+G344+G357+G370+G383+G396+G409+G422+G434+G447+G460+G473</f>
        <v>0</v>
      </c>
      <c r="H19" s="60">
        <f t="shared" si="2"/>
        <v>12163.999999999995</v>
      </c>
      <c r="I19" s="61">
        <v>12163.999999999995</v>
      </c>
      <c r="J19" s="61">
        <v>0</v>
      </c>
      <c r="K19" s="62">
        <v>0</v>
      </c>
      <c r="L19" s="63">
        <f>L35+L61+L74+L86+L99+L111+L124+L137+L151+L164+L177+L189+L202+L215+L228+L242+L255+L267+L280+L294+L307+L319+L331+L344+L357+L370+L383+L396+L409+L422+L434+L447+L460+L473</f>
        <v>10355.8</v>
      </c>
      <c r="M19" s="61">
        <f>M35+M61+M74+M86+M99+M111+M124+M137+M151+M164+M177+M189+M202+M215+M228+M242+M255+M267+M280+M294+M307+M319+M331+M344+M357+M370+M383+M396+M409+M422+M434+M447+M460+M473</f>
        <v>10346.599999999999</v>
      </c>
      <c r="N19" s="61">
        <f>N35+N61+N74+N86+N99+N111+N124+N137+N151+N164+N177+N189+N202+N215+N228+N242+N255+N267+N280+N294+N307+N319+N331+N344+N357+N370+N383+N396+N409+N422+N434+N447+N460+N473</f>
        <v>9.2</v>
      </c>
      <c r="O19" s="64">
        <f>O35+O61+O74+O86+O99+O111+O124+O137+O151+O164+O177+O189+O202+O215+O228+O242+O255+O267+O280+O294+O307+O319+O331+O344+O357+O370+O383+O396+O409+O422+O434+O447+O460+O473</f>
        <v>0</v>
      </c>
      <c r="P19" s="145">
        <f>P35+P61+P74+P86+P99+P111+P124+P137+P151+P164+P177+P189+P202+P215+P228+P242+P255+P267+P280+P294+P307+P319+P331+P344+P357+P370+P383+P396+P409+P422+P434+P447+P460+P473</f>
        <v>12162.800000000005</v>
      </c>
      <c r="Q19" s="146">
        <f>Q35+Q61+Q74+Q86+Q99+Q111+Q124+Q137+Q151+Q164+Q177+Q189+Q202+Q215+Q228+Q242+Q255+Q267+Q280+Q294+Q307+Q319+Q331+Q344+Q357+Q370+Q383+Q396+Q409+Q422+Q434+Q447+Q460+Q473</f>
        <v>12162.800000000005</v>
      </c>
      <c r="R19" s="146">
        <f>R35+R61+R74+R86+R99+R111+R124+R137+R151+R164+R177+R189+R202+R215+R228+R242+R255+R267+R280+R294+R307+R319+R331+R344+R357+R370+R383+R396+R409+R422+R434+R447+R460+R473</f>
        <v>0</v>
      </c>
      <c r="S19" s="172">
        <f>S35+S61+S74+S86+S99+S111+S124+S137+S151+S164+S177+S189+S202+S215+S228+S242+S255+S267+S280+S294+S307+S319+S331+S344+S357+S370+S383+S396+S409+S422+S434+S447+S460+S473</f>
        <v>0</v>
      </c>
      <c r="T19" s="122">
        <f t="shared" si="4"/>
        <v>-1.1999999999898137</v>
      </c>
      <c r="U19" s="9">
        <f t="shared" si="5"/>
        <v>-1.1999999999898137</v>
      </c>
      <c r="V19" s="164">
        <f t="shared" si="6"/>
        <v>0</v>
      </c>
      <c r="W19" s="195">
        <f t="shared" si="7"/>
        <v>0</v>
      </c>
    </row>
    <row r="20" spans="1:23" s="65" customFormat="1" ht="12.75">
      <c r="A20" s="59" t="s">
        <v>18</v>
      </c>
      <c r="B20" s="68"/>
      <c r="C20" s="69">
        <v>12</v>
      </c>
      <c r="D20" s="60">
        <f>D36</f>
        <v>254.6</v>
      </c>
      <c r="E20" s="61">
        <f>E36</f>
        <v>254.6</v>
      </c>
      <c r="F20" s="61">
        <f>F36</f>
        <v>0</v>
      </c>
      <c r="G20" s="62">
        <f>G36</f>
        <v>0</v>
      </c>
      <c r="H20" s="60">
        <f t="shared" si="2"/>
        <v>254.6</v>
      </c>
      <c r="I20" s="61">
        <v>254.6</v>
      </c>
      <c r="J20" s="61">
        <v>0</v>
      </c>
      <c r="K20" s="62">
        <v>0</v>
      </c>
      <c r="L20" s="63">
        <f>L36</f>
        <v>0</v>
      </c>
      <c r="M20" s="61">
        <f>M36</f>
        <v>0</v>
      </c>
      <c r="N20" s="61">
        <f>N36</f>
        <v>0</v>
      </c>
      <c r="O20" s="64">
        <f>O36</f>
        <v>0</v>
      </c>
      <c r="P20" s="145">
        <f>P36</f>
        <v>0</v>
      </c>
      <c r="Q20" s="146">
        <f>Q36</f>
        <v>0</v>
      </c>
      <c r="R20" s="146">
        <f>R36</f>
        <v>0</v>
      </c>
      <c r="S20" s="172">
        <f>S36</f>
        <v>0</v>
      </c>
      <c r="T20" s="122">
        <f t="shared" si="4"/>
        <v>-254.6</v>
      </c>
      <c r="U20" s="9">
        <f t="shared" si="5"/>
        <v>-254.6</v>
      </c>
      <c r="V20" s="164">
        <f t="shared" si="6"/>
        <v>0</v>
      </c>
      <c r="W20" s="195">
        <f t="shared" si="7"/>
        <v>0</v>
      </c>
    </row>
    <row r="21" spans="1:23" s="65" customFormat="1" ht="102">
      <c r="A21" s="59" t="s">
        <v>19</v>
      </c>
      <c r="B21" s="68"/>
      <c r="C21" s="69">
        <v>13</v>
      </c>
      <c r="D21" s="60">
        <f>D37+D62+D75+D87+D100+D112+D125+D152+D138+D165+D178+D190+D203+D216+D229+D243+D256+D268+D281+D295+D308+D320+D332+D345+D358+D371+D384+D397+D410+D423+D435+D448+D461+D474</f>
        <v>9192.899999999989</v>
      </c>
      <c r="E21" s="61">
        <f>E37+E62+E75+E87+E100+E112+E125+E152+E138+E165+E178+E190+E203+E216+E229+E243+E256+E268+E281+E295+E308+E320+E332+E345+E358+E371+E384+E397+E410+E423+E435+E448+E461+E474</f>
        <v>6770.499999999994</v>
      </c>
      <c r="F21" s="61">
        <f>F37+F62+F75+F87+F100+F112+F125+F152+F138+F165+F178+F190+F203+F216+F229+F243+F256+F268+F281+F295+F308+F320+F332+F345+F358+F371+F384+F397+F410+F423+F435+F448+F461+F474</f>
        <v>2422.4</v>
      </c>
      <c r="G21" s="62">
        <f>G37+G62+G75+G87+G100+G112+G125+G152+G138+G165+G178+G190+G203+G216+G229+G243+G256+G268+G281+G295+G308+G320+G332+G345+G358+G371+G384+G397+G410+G423+G435+G448+G461+G474</f>
        <v>0</v>
      </c>
      <c r="H21" s="60">
        <f t="shared" si="2"/>
        <v>11467.599999999993</v>
      </c>
      <c r="I21" s="61">
        <v>9045.199999999993</v>
      </c>
      <c r="J21" s="61">
        <v>2422.4</v>
      </c>
      <c r="K21" s="62">
        <v>0</v>
      </c>
      <c r="L21" s="63">
        <f>L37+L62+L75+L87+L100+L112+L125+L152+L138+L165+L178+L190+L203+L216+L229+L243+L256+L268+L281+L295+L308+L320+L332+L345+L358+L371+L384+L397+L410+L423+L435+L448+L461+L474</f>
        <v>5407.099999999999</v>
      </c>
      <c r="M21" s="61">
        <f>M37+M62+M75+M87+M100+M112+M125+M152+M138+M165+M178+M190+M203+M216+M229+M243+M256+M268+M281+M295+M308+M320+M332+M345+M358+M371+M384+M397+M410+M423+M435+M448+M461+M474</f>
        <v>5407.099999999999</v>
      </c>
      <c r="N21" s="61">
        <f>N37+N62+N75+N87+N100+N112+N125+N152+N138+N165+N178+N190+N203+N216+N229+N243+N256+N268+N281+N295+N308+N320+N332+N345+N358+N371+N384+N397+N410+N423+N435+N448+N461+N474</f>
        <v>0</v>
      </c>
      <c r="O21" s="64">
        <f>O37+O62+O75+O87+O100+O112+O125+O152+O138+O165+O178+O190+O203+O216+O229+O243+O256+O268+O281+O295+O308+O320+O332+O345+O358+O371+O384+O397+O410+O423+O435+O448+O461+O474</f>
        <v>0</v>
      </c>
      <c r="P21" s="145">
        <f>P37+P62+P75+P87+P100+P112+P125+P152+P138+P165+P178+P190+P203+P216+P229+P243+P256+P268+P281+P295+P308+P320+P332+P345+P358+P371+P384+P397+P410+P423+P435+P448+P461+P474</f>
        <v>11467.000000000011</v>
      </c>
      <c r="Q21" s="146">
        <f>Q37+Q62+Q75+Q87+Q100+Q112+Q125+Q152+Q138+Q165+Q178+Q190+Q203+Q216+Q229+Q243+Q256+Q268+Q281+Q295+Q308+Q320+Q332+Q345+Q358+Q371+Q384+Q397+Q410+Q423+Q435+Q448+Q461+Q474</f>
        <v>9044.599999999997</v>
      </c>
      <c r="R21" s="157">
        <f>R37+R62+R75+R87+R100+R112+R125+R152+R138+R165+R178+R190+R203+R216+R229+R243+R256+R268+R281+R295+R308+R320+R332+R345+R358+R371+R384+R397+R410+R423+R435+R448+R461+R474</f>
        <v>2422.4</v>
      </c>
      <c r="S21" s="172">
        <f>S37+S62+S75+S87+S100+S112+S125+S152+S138+S165+S178+S190+S203+S216+S229+S243+S256+S268+S281+S295+S308+S320+S332+S345+S358+S371+S384+S397+S410+S423+S435+S448+S461+S474</f>
        <v>0</v>
      </c>
      <c r="T21" s="122">
        <f t="shared" si="4"/>
        <v>-0.5999999999821739</v>
      </c>
      <c r="U21" s="9">
        <f t="shared" si="5"/>
        <v>-0.5999999999967258</v>
      </c>
      <c r="V21" s="164">
        <f t="shared" si="6"/>
        <v>0</v>
      </c>
      <c r="W21" s="195" t="s">
        <v>78</v>
      </c>
    </row>
    <row r="22" spans="1:23" s="65" customFormat="1" ht="25.5">
      <c r="A22" s="59" t="s">
        <v>20</v>
      </c>
      <c r="B22" s="68"/>
      <c r="C22" s="69">
        <v>14</v>
      </c>
      <c r="D22" s="60">
        <f>D38+D230+D282</f>
        <v>2533.2</v>
      </c>
      <c r="E22" s="61">
        <f>E38+E230+E282</f>
        <v>2533.2</v>
      </c>
      <c r="F22" s="61">
        <f>F38+F230+F282</f>
        <v>0</v>
      </c>
      <c r="G22" s="62">
        <f>G38+G230+G282</f>
        <v>0</v>
      </c>
      <c r="H22" s="60">
        <f t="shared" si="2"/>
        <v>3127.1</v>
      </c>
      <c r="I22" s="61">
        <v>3127.1</v>
      </c>
      <c r="J22" s="61">
        <v>0</v>
      </c>
      <c r="K22" s="62">
        <v>0</v>
      </c>
      <c r="L22" s="63">
        <f>L38+L230+L282</f>
        <v>197.9</v>
      </c>
      <c r="M22" s="61">
        <f>M38+M230+M282</f>
        <v>197.9</v>
      </c>
      <c r="N22" s="61">
        <f>N38+N230+N282</f>
        <v>0</v>
      </c>
      <c r="O22" s="64">
        <f>O38+O230+O282</f>
        <v>0</v>
      </c>
      <c r="P22" s="145">
        <f>P38+P230+P282</f>
        <v>3127.1</v>
      </c>
      <c r="Q22" s="146">
        <f>Q38+Q230+Q282</f>
        <v>3127.1</v>
      </c>
      <c r="R22" s="146">
        <f>R38+R230+R282</f>
        <v>0</v>
      </c>
      <c r="S22" s="172">
        <f>S38+S230+S282</f>
        <v>0</v>
      </c>
      <c r="T22" s="122">
        <f t="shared" si="4"/>
        <v>0</v>
      </c>
      <c r="U22" s="9">
        <f t="shared" si="5"/>
        <v>0</v>
      </c>
      <c r="V22" s="164">
        <f t="shared" si="6"/>
        <v>0</v>
      </c>
      <c r="W22" s="195">
        <f t="shared" si="7"/>
        <v>0</v>
      </c>
    </row>
    <row r="23" spans="1:23" s="65" customFormat="1" ht="25.5">
      <c r="A23" s="59" t="s">
        <v>21</v>
      </c>
      <c r="B23" s="68"/>
      <c r="C23" s="69">
        <v>15</v>
      </c>
      <c r="D23" s="60">
        <f>D39+D51+D63+D88+D101+D113+D126+D139+D153+D166+D179+D191+D204+D217+D231+D244+D257+D269+D283+D296+D309+D321+D333+D346+D359+D372+D385+D398+D411+D436+D449+D462+D475</f>
        <v>4304.9</v>
      </c>
      <c r="E23" s="61">
        <f>E39+E51+E63+E88+E101+E113+E126+E139+E153+E166+E179+E191+E204+E217+E231+E244+E257+E269+E283+E296+E309+E321+E333+E346+E359+E372+E385+E398+E411+E436+E449+E462+E475</f>
        <v>2265.1</v>
      </c>
      <c r="F23" s="61">
        <f>F39+F51+F63+F88+F101+F113+F126+F139+F153+F166+F179+F191+F204+F217+F231+F244+F257+F269+F283+F296+F309+F321+F333+F346+F359+F372+F385+F398+F411+F436+F449+F462+F475</f>
        <v>2039.8</v>
      </c>
      <c r="G23" s="62">
        <f>G39+G51+G63+G88+G101+G113+G126+G139+G153+G166+G179+G191+G204+G217+G231+G244+G257+G269+G283+G296+G309+G321+G333+G346+G359+G372+G385+G398+G411+G436+G449+G462+G475</f>
        <v>0</v>
      </c>
      <c r="H23" s="60">
        <f t="shared" si="2"/>
        <v>5610.2</v>
      </c>
      <c r="I23" s="61">
        <v>3570.3999999999996</v>
      </c>
      <c r="J23" s="61">
        <v>2039.8</v>
      </c>
      <c r="K23" s="62">
        <v>0</v>
      </c>
      <c r="L23" s="63">
        <f>L39+L51+L63+L88+L101+L113+L126+L139+L153+L166+L179+L191+L204+L217+L231+L244+L257+L269+L283+L296+L309+L321+L333+L346+L359+L372+L385+L398+L411+L436+L449+L462+L475</f>
        <v>5191.900000000001</v>
      </c>
      <c r="M23" s="61">
        <f>M39+M51+M63+M88+M101+M113+M126+M139+M153+M166+M179+M191+M204+M217+M231+M244+M257+M269+M283+M296+M309+M321+M333+M346+M359+M372+M385+M398+M411+M436+M449+M462+M475</f>
        <v>2944.999999999999</v>
      </c>
      <c r="N23" s="61">
        <f>N39+N51+N63+N88+N101+N113+N126+N139+N153+N166+N179+N191+N204+N217+N231+N244+N257+N269+N283+N296+N309+N321+N333+N346+N359+N372+N385+N398+N411+N436+N449+N462+N475</f>
        <v>2246.9</v>
      </c>
      <c r="O23" s="64">
        <f>O39+O51+O63+O88+O101+O113+O126+O139+O153+O166+O179+O191+O204+O217+O231+O244+O257+O269+O283+O296+O309+O321+O333+O346+O359+O372+O385+O398+O411+O436+O449+O462+O475</f>
        <v>0</v>
      </c>
      <c r="P23" s="145">
        <f>P39+P51+P63+P88+P101+P113+P126+P139+P153+P166+P179+P191+P204+P217+P231+P244+P257+P269+P283+P296+P309+P321+P333+P346+P359+P372+P385+P398+P411+P436+P449+P462+P475</f>
        <v>5610.099999999999</v>
      </c>
      <c r="Q23" s="146">
        <f>Q39+Q51+Q63+Q88+Q101+Q113+Q126+Q139+Q153+Q166+Q179+Q191+Q204+Q217+Q231+Q244+Q257+Q269+Q283+Q296+Q309+Q321+Q333+Q346+Q359+Q372+Q385+Q398+Q411+Q436+Q449+Q462+Q475</f>
        <v>3570.2999999999997</v>
      </c>
      <c r="R23" s="157">
        <f>R39+R51+R63+R88+R101+R113+R126+R139+R153+R166+R179+R191+R204+R217+R231+R244+R257+R269+R283+R296+R309+R321+R333+R346+R359+R372+R385+R398+R411+R436+R449+R462+R475</f>
        <v>2039.8</v>
      </c>
      <c r="S23" s="172">
        <f>S39+S51+S63+S88+S101+S113+S126+S139+S153+S166+S179+S191+S204+S217+S231+S244+S257+S269+S283+S296+S309+S321+S333+S346+S359+S372+S385+S398+S411+S436+S449+S462+S475</f>
        <v>0</v>
      </c>
      <c r="T23" s="122">
        <f t="shared" si="4"/>
        <v>-0.1000000000003638</v>
      </c>
      <c r="U23" s="9">
        <f t="shared" si="5"/>
        <v>-0.09999999999990905</v>
      </c>
      <c r="V23" s="164">
        <f t="shared" si="6"/>
        <v>0</v>
      </c>
      <c r="W23" s="195" t="s">
        <v>79</v>
      </c>
    </row>
    <row r="24" spans="1:23" s="65" customFormat="1" ht="25.5">
      <c r="A24" s="59" t="s">
        <v>22</v>
      </c>
      <c r="B24" s="68"/>
      <c r="C24" s="69">
        <v>19</v>
      </c>
      <c r="D24" s="60">
        <f>D40+D64+D76+D89+D102+D114+D127+D140+D154+D167+D180+D192+D205+D218+D232+D245+D258+D270+D284+D297+D310+D322+D334+D347+D360+D373+D386+D399+D412+D424+D437+D450++D463+D476</f>
        <v>3245.100000000003</v>
      </c>
      <c r="E24" s="61">
        <f>E40+E64+E76+E89+E102+E114+E127+E140+E154+E167+E180+E192+E205+E218+E232+E245+E258+E270+E284+E297+E310+E322+E334+E347+E360+E373+E386+E399+E412+E424+E437+E450++E463+E476</f>
        <v>2964.5000000000027</v>
      </c>
      <c r="F24" s="61">
        <f>F40+F64+F76+F89+F102+F114+F127+F140+F154+F167+F180+F192+F205+F218+F232+F245+F258+F270+F284+F297+F310+F322+F334+F347+F360+F373+F386+F399+F412+F424+F437+F450++F463+F476</f>
        <v>280.6</v>
      </c>
      <c r="G24" s="62">
        <f>G40+G64+G76+G89+G102+G114+G127+G140+G154+G167+G180+G192+G205+G218+G232+G245+G258+G270+G284+G297+G310+G322+G334+G347+G360+G373+G386+G399+G412+G424+G437+G450++G463+G476</f>
        <v>0</v>
      </c>
      <c r="H24" s="60">
        <f t="shared" si="2"/>
        <v>4169.500000000003</v>
      </c>
      <c r="I24" s="61">
        <v>3888.900000000003</v>
      </c>
      <c r="J24" s="61">
        <v>280.6</v>
      </c>
      <c r="K24" s="62">
        <v>0</v>
      </c>
      <c r="L24" s="63">
        <f>L40+L64+L76+L89+L102+L114+L127+L140+L154+L167+L180+L192+L205+L218+L232+L245+L258+L270+L284+L297+L310+L322+L334+L347+L360+L373+L386+L399+L412+L424+L437+L450++L463+L476</f>
        <v>2442.2000000000003</v>
      </c>
      <c r="M24" s="61">
        <f>M40+M64+M76+M89+M102+M114+M127+M140+M154+M167+M180+M192+M205+M218+M232+M245+M258+M270+M284+M297+M310+M322+M334+M347+M360+M373+M386+M399+M412+M424+M437+M450++M463+M476</f>
        <v>2442.2000000000003</v>
      </c>
      <c r="N24" s="61">
        <f>N40+N64+N76+N89+N102+N114+N127+N140+N154+N167+N180+N192+N205+N218+N232+N245+N258+N270+N284+N297+N310+N322+N334+N347+N360+N373+N386+N399+N412+N424+N437+N450++N463+N476</f>
        <v>0</v>
      </c>
      <c r="O24" s="64">
        <f>O40+O64+O76+O89+O102+O114+O127+O140+O154+O167+O180+O192+O205+O218+O232+O245+O258+O270+O284+O297+O310+O322+O334+O347+O360+O373+O386+O399+O412+O424+O437+O450++O463+O476</f>
        <v>0</v>
      </c>
      <c r="P24" s="145">
        <f>P40+P64+P76+P89+P102+P114+P127+P140+P154+P167+P180+P192+P205+P218+P232+P245+P258+P270+P284+P297+P310+P322+P334+P347+P360+P373+P386+P399+P412+P424+P437+P450++P463+P476</f>
        <v>4169.2999999999965</v>
      </c>
      <c r="Q24" s="146">
        <f>Q40+Q64+Q76+Q89+Q102+Q114+Q127+Q140+Q154+Q167+Q180+Q192+Q205+Q218+Q232+Q245+Q258+Q270+Q284+Q297+Q310+Q322+Q334+Q347+Q360+Q373+Q386+Q399+Q412+Q424+Q437+Q450++Q463+Q476</f>
        <v>3888.6999999999966</v>
      </c>
      <c r="R24" s="157">
        <f>R40+R64+R76+R89+R102+R114+R127+R140+R154+R167+R180+R192+R205+R218+R232+R245+R258+R270+R284+R297+R310+R322+R334+R347+R360+R373+R386+R399+R412+R424+R437+R450++R463+R476</f>
        <v>280.6</v>
      </c>
      <c r="S24" s="172">
        <f>S40+S64+S76+S89+S102+S114+S127+S140+S154+S167+S180+S192+S205+S218+S232+S245+S258+S270+S284+S297+S310+S322+S334+S347+S360+S373+S386+S399+S412+S424+S437+S450++S463+S476</f>
        <v>0</v>
      </c>
      <c r="T24" s="122">
        <f t="shared" si="4"/>
        <v>-0.20000000000618456</v>
      </c>
      <c r="U24" s="9">
        <f t="shared" si="5"/>
        <v>-0.20000000000618456</v>
      </c>
      <c r="V24" s="164">
        <f t="shared" si="6"/>
        <v>0</v>
      </c>
      <c r="W24" s="195">
        <f t="shared" si="7"/>
        <v>0</v>
      </c>
    </row>
    <row r="25" spans="1:23" s="65" customFormat="1" ht="25.5">
      <c r="A25" s="59" t="s">
        <v>23</v>
      </c>
      <c r="B25" s="68"/>
      <c r="C25" s="69">
        <v>20</v>
      </c>
      <c r="D25" s="60">
        <f>D41+D52+D65+D77+D90+D103+D115+D128+D141+D155+D168+D181+D193+D206+D219+D233+D246+D259+D271+D285+D298+D311+D323+D335+D348+D361+D374+D387+D400+D413+D425+D438+D451+D464+D477</f>
        <v>67948.00000000001</v>
      </c>
      <c r="E25" s="61">
        <f>E41+E52+E65+E77+E90+E103+E115+E128+E141+E155+E168+E181+E193+E206+E219+E233+E246+E259+E271+E285+E298+E311+E323+E335+E348+E361+E374+E387+E400+E413+E425+E438+E451+E464+E477</f>
        <v>67948.00000000001</v>
      </c>
      <c r="F25" s="61">
        <f>F41+F52+F65+F77+F90+F103+F115+F128+F141+F155+F168+F181+F193+F206+F219+F233+F246+F259+F271+F285+F298+F311+F323+F335+F348+F361+F374+F387+F413+F425+F438+F451+F464+F477</f>
        <v>0</v>
      </c>
      <c r="G25" s="62">
        <f>G41+G52+G65+G77+G90+G103+G115+G128+G141+G155+G168+G181+G193+G206+G219+G233+G246+G259+G271+G285+G298+G311+G323+G335+G348+G361+G374+G387+G413+G425+G438+G451+G464+G477</f>
        <v>0</v>
      </c>
      <c r="H25" s="60">
        <f t="shared" si="2"/>
        <v>81651.90000000001</v>
      </c>
      <c r="I25" s="61">
        <v>81651.90000000001</v>
      </c>
      <c r="J25" s="61">
        <v>0</v>
      </c>
      <c r="K25" s="62">
        <v>0</v>
      </c>
      <c r="L25" s="63">
        <f>L41+L52+L65+L77+L90+L103+L115+L128+L141+L155+L168+L181+L193+L206+L219+L233+L246+L259+L271+L285+L298+L311+L323+L335+L348+L361+L374+L387+L400+L413+L425+L438+L451+L464+L477</f>
        <v>74665</v>
      </c>
      <c r="M25" s="61">
        <f>M41+M52+M65+M77+M90+M103+M115+M128+M141+M155+M168+M181+M193+M206+M219+M233+M246+M259+M271+M285+M298+M311+M323+M335+M348+M361+M374+M387+M400+M413+M425+M438+M451+M464+M477</f>
        <v>73086.8</v>
      </c>
      <c r="N25" s="61">
        <f>N41+N52+N65+N77+N90+N103+N115+N128+N141+N155+N168+N181+N193+N206+N219+N233+N246+N259+N271+N285+N298+N311+N323+N335+N348+N361+N374+N387+N413+N425+N438+N451+N464+N477</f>
        <v>1552.1999999999998</v>
      </c>
      <c r="O25" s="64">
        <f>O41+O52+O65+O77+O90+O103+O115+O128+O141+O155+O168+O181+O193+O206+O219+O233+O246+O259+O271+O285+O298+O311+O323+O335+O348+O361+O374+O387+O413+O425+O438+O451+O464+O477</f>
        <v>0</v>
      </c>
      <c r="P25" s="145">
        <f>P41+P52+P65+P77+P90+P103+P115+P128+P141+P155+P168+P181+P193+P206+P219+P233+P246+P259+P271+P285+P298+P311+P323+P335+P348+P361+P374+P387+P400+P413+P425+P438+P451+P464+P477</f>
        <v>70541.3</v>
      </c>
      <c r="Q25" s="146">
        <f>Q41+Q52+Q65+Q77+Q90+Q103+Q115+Q128+Q141+Q155+Q168+Q181+Q193+Q206+Q219+Q233+Q246+Q259+Q271+Q285+Q298+Q311+Q323+Q335+Q348+Q361+Q374+Q387+Q400+Q413+Q425+Q438+Q451+Q464+Q477</f>
        <v>70541.3</v>
      </c>
      <c r="R25" s="146">
        <f>R41+R52+R65+R77+R90+R103+R115+R128+R141+R155+R168+R181+R193+R206+R219+R233+R246+R259+R271+R285+R298+R311+R323+R335+R348+R361+R374+R387+R413+R425+R438+R451+R464+R477</f>
        <v>0</v>
      </c>
      <c r="S25" s="172">
        <f>S41+S52+S65+S77+S90+S103+S115+S128+S141+S155+S168+S181+S193+S206+S219+S233+S246+S259+S271+S285+S298+S311+S323+S335+S348+S361+S374+S387+S413+S425+S438+S451+S464+S477</f>
        <v>0</v>
      </c>
      <c r="T25" s="122">
        <f t="shared" si="4"/>
        <v>-11110.600000000006</v>
      </c>
      <c r="U25" s="9">
        <f t="shared" si="5"/>
        <v>-11110.600000000006</v>
      </c>
      <c r="V25" s="164">
        <f t="shared" si="6"/>
        <v>0</v>
      </c>
      <c r="W25" s="195">
        <f t="shared" si="7"/>
        <v>0</v>
      </c>
    </row>
    <row r="26" spans="1:23" s="4" customFormat="1" ht="15">
      <c r="A26" s="45" t="s">
        <v>24</v>
      </c>
      <c r="B26" s="70">
        <v>1</v>
      </c>
      <c r="C26" s="71"/>
      <c r="D26" s="32"/>
      <c r="E26" s="3"/>
      <c r="F26" s="3"/>
      <c r="G26" s="30"/>
      <c r="H26" s="32"/>
      <c r="I26" s="3"/>
      <c r="J26" s="3"/>
      <c r="K26" s="30"/>
      <c r="L26" s="37"/>
      <c r="M26" s="3"/>
      <c r="N26" s="3"/>
      <c r="O26" s="34"/>
      <c r="P26" s="37"/>
      <c r="Q26" s="3"/>
      <c r="R26" s="3"/>
      <c r="S26" s="34"/>
      <c r="T26" s="177"/>
      <c r="U26" s="165"/>
      <c r="V26" s="166"/>
      <c r="W26" s="189"/>
    </row>
    <row r="27" spans="1:26" s="6" customFormat="1" ht="12.75">
      <c r="A27" s="46" t="s">
        <v>8</v>
      </c>
      <c r="B27" s="72">
        <v>1</v>
      </c>
      <c r="C27" s="73" t="s">
        <v>9</v>
      </c>
      <c r="D27" s="17">
        <f>SUM(D28:D41)</f>
        <v>900046.0999999997</v>
      </c>
      <c r="E27" s="5">
        <f>SUM(E28:E41)</f>
        <v>890258.7999999999</v>
      </c>
      <c r="F27" s="5">
        <f>SUM(F28:F41)</f>
        <v>8814.5</v>
      </c>
      <c r="G27" s="16">
        <f>SUM(G28:G41)</f>
        <v>972.8</v>
      </c>
      <c r="H27" s="17">
        <f aca="true" t="shared" si="10" ref="H27:O27">SUM(H28:H41)</f>
        <v>0</v>
      </c>
      <c r="I27" s="5">
        <f t="shared" si="10"/>
        <v>0</v>
      </c>
      <c r="J27" s="5">
        <f t="shared" si="10"/>
        <v>0</v>
      </c>
      <c r="K27" s="16">
        <f t="shared" si="10"/>
        <v>0</v>
      </c>
      <c r="L27" s="126">
        <f t="shared" si="10"/>
        <v>121890.69999999998</v>
      </c>
      <c r="M27" s="127">
        <f t="shared" si="10"/>
        <v>121466.09999999999</v>
      </c>
      <c r="N27" s="127">
        <f t="shared" si="10"/>
        <v>424.59999999999997</v>
      </c>
      <c r="O27" s="128">
        <f t="shared" si="10"/>
        <v>0</v>
      </c>
      <c r="P27" s="143">
        <f>SUM(P28:P41)</f>
        <v>960722.2999999999</v>
      </c>
      <c r="Q27" s="144">
        <f>SUM(Q28:Q41)</f>
        <v>950968.9</v>
      </c>
      <c r="R27" s="144">
        <f>SUM(R28:R41)</f>
        <v>8780.6</v>
      </c>
      <c r="S27" s="171">
        <f>SUM(S28:S41)</f>
        <v>972.8</v>
      </c>
      <c r="T27" s="178"/>
      <c r="U27" s="167"/>
      <c r="V27" s="163"/>
      <c r="W27" s="187"/>
      <c r="Z27" s="7"/>
    </row>
    <row r="28" spans="1:26" ht="12.75">
      <c r="A28" s="47" t="s">
        <v>10</v>
      </c>
      <c r="B28" s="74">
        <v>1</v>
      </c>
      <c r="C28" s="75">
        <v>1</v>
      </c>
      <c r="D28" s="19">
        <f aca="true" t="shared" si="11" ref="D28:D41">E28+F28+G28</f>
        <v>25448.2</v>
      </c>
      <c r="E28" s="8">
        <v>24602.3</v>
      </c>
      <c r="F28" s="8">
        <v>845.9</v>
      </c>
      <c r="G28" s="18"/>
      <c r="H28" s="19"/>
      <c r="I28" s="8"/>
      <c r="J28" s="8"/>
      <c r="K28" s="18"/>
      <c r="L28" s="129">
        <f aca="true" t="shared" si="12" ref="L28:L41">M28+N28+O28</f>
        <v>8843.4</v>
      </c>
      <c r="M28" s="124">
        <v>8706.5</v>
      </c>
      <c r="N28" s="124">
        <v>136.9</v>
      </c>
      <c r="O28" s="125"/>
      <c r="P28" s="145">
        <f aca="true" t="shared" si="13" ref="P28:P41">Q28+R28+S28</f>
        <v>33214.6</v>
      </c>
      <c r="Q28" s="146">
        <v>32368.7</v>
      </c>
      <c r="R28" s="146">
        <v>845.9</v>
      </c>
      <c r="S28" s="172"/>
      <c r="T28" s="179"/>
      <c r="U28" s="168"/>
      <c r="V28" s="169"/>
      <c r="W28" s="190"/>
      <c r="Z28" s="7"/>
    </row>
    <row r="29" spans="1:26" ht="12.75">
      <c r="A29" s="47" t="s">
        <v>11</v>
      </c>
      <c r="B29" s="74">
        <v>1</v>
      </c>
      <c r="C29" s="75">
        <v>3</v>
      </c>
      <c r="D29" s="19">
        <f t="shared" si="11"/>
        <v>118.4</v>
      </c>
      <c r="E29" s="8">
        <v>118.4</v>
      </c>
      <c r="F29" s="8"/>
      <c r="G29" s="18"/>
      <c r="H29" s="19"/>
      <c r="I29" s="8"/>
      <c r="J29" s="8"/>
      <c r="K29" s="18"/>
      <c r="L29" s="129">
        <f t="shared" si="12"/>
        <v>0</v>
      </c>
      <c r="M29" s="124"/>
      <c r="N29" s="124"/>
      <c r="O29" s="125"/>
      <c r="P29" s="145">
        <f t="shared" si="13"/>
        <v>138.7</v>
      </c>
      <c r="Q29" s="146">
        <v>138.7</v>
      </c>
      <c r="R29" s="148"/>
      <c r="S29" s="173"/>
      <c r="T29" s="179"/>
      <c r="U29" s="168"/>
      <c r="V29" s="169"/>
      <c r="W29" s="190"/>
      <c r="Z29" s="7"/>
    </row>
    <row r="30" spans="1:26" ht="25.5">
      <c r="A30" s="47" t="s">
        <v>12</v>
      </c>
      <c r="B30" s="74">
        <v>1</v>
      </c>
      <c r="C30" s="75">
        <v>5</v>
      </c>
      <c r="D30" s="19">
        <f t="shared" si="11"/>
        <v>81880.09999999999</v>
      </c>
      <c r="E30" s="8">
        <v>81846.2</v>
      </c>
      <c r="F30" s="8">
        <v>33.9</v>
      </c>
      <c r="G30" s="18"/>
      <c r="H30" s="19"/>
      <c r="I30" s="8"/>
      <c r="J30" s="8"/>
      <c r="K30" s="18"/>
      <c r="L30" s="129">
        <f t="shared" si="12"/>
        <v>0</v>
      </c>
      <c r="M30" s="124"/>
      <c r="N30" s="124"/>
      <c r="O30" s="125"/>
      <c r="P30" s="145">
        <f t="shared" si="13"/>
        <v>97189</v>
      </c>
      <c r="Q30" s="146">
        <v>97189</v>
      </c>
      <c r="R30" s="146"/>
      <c r="S30" s="172"/>
      <c r="T30" s="179"/>
      <c r="U30" s="168"/>
      <c r="V30" s="169"/>
      <c r="W30" s="190"/>
      <c r="Z30" s="7"/>
    </row>
    <row r="31" spans="1:26" ht="12.75">
      <c r="A31" s="47" t="s">
        <v>13</v>
      </c>
      <c r="B31" s="74">
        <v>1</v>
      </c>
      <c r="C31" s="75">
        <v>6</v>
      </c>
      <c r="D31" s="19">
        <f t="shared" si="11"/>
        <v>718833.2999999999</v>
      </c>
      <c r="E31" s="9">
        <f>713361.2+3925.7</f>
        <v>717286.8999999999</v>
      </c>
      <c r="F31" s="8">
        <v>1546.4</v>
      </c>
      <c r="G31" s="18"/>
      <c r="H31" s="19"/>
      <c r="I31" s="9"/>
      <c r="J31" s="8"/>
      <c r="K31" s="18"/>
      <c r="L31" s="129">
        <f t="shared" si="12"/>
        <v>108467.2</v>
      </c>
      <c r="M31" s="124">
        <v>108194.8</v>
      </c>
      <c r="N31" s="124">
        <v>272.4</v>
      </c>
      <c r="O31" s="125"/>
      <c r="P31" s="145">
        <f t="shared" si="13"/>
        <v>749906.3</v>
      </c>
      <c r="Q31" s="146">
        <f>749906.3-1546.4</f>
        <v>748359.9</v>
      </c>
      <c r="R31" s="146">
        <v>1546.4</v>
      </c>
      <c r="S31" s="172"/>
      <c r="T31" s="179"/>
      <c r="U31" s="168"/>
      <c r="V31" s="169"/>
      <c r="W31" s="190"/>
      <c r="Z31" s="7"/>
    </row>
    <row r="32" spans="1:26" ht="25.5">
      <c r="A32" s="47" t="s">
        <v>14</v>
      </c>
      <c r="B32" s="74">
        <v>1</v>
      </c>
      <c r="C32" s="75">
        <v>8</v>
      </c>
      <c r="D32" s="19">
        <f t="shared" si="11"/>
        <v>34192.2</v>
      </c>
      <c r="E32" s="8">
        <f>19917.6+373.1+12341.9</f>
        <v>32632.6</v>
      </c>
      <c r="F32" s="8">
        <v>1559.6</v>
      </c>
      <c r="G32" s="18"/>
      <c r="H32" s="19"/>
      <c r="I32" s="8"/>
      <c r="J32" s="8"/>
      <c r="K32" s="18"/>
      <c r="L32" s="129">
        <f t="shared" si="12"/>
        <v>2492</v>
      </c>
      <c r="M32" s="124">
        <v>2476.7</v>
      </c>
      <c r="N32" s="124">
        <v>15.3</v>
      </c>
      <c r="O32" s="125"/>
      <c r="P32" s="145">
        <f t="shared" si="13"/>
        <v>40265</v>
      </c>
      <c r="Q32" s="146">
        <f>40265-1559.6</f>
        <v>38705.4</v>
      </c>
      <c r="R32" s="146">
        <v>1559.6</v>
      </c>
      <c r="S32" s="172"/>
      <c r="T32" s="179"/>
      <c r="U32" s="168"/>
      <c r="V32" s="169"/>
      <c r="W32" s="190"/>
      <c r="Z32" s="7"/>
    </row>
    <row r="33" spans="1:26" ht="12.75">
      <c r="A33" s="47" t="s">
        <v>15</v>
      </c>
      <c r="B33" s="74">
        <v>1</v>
      </c>
      <c r="C33" s="75">
        <v>9</v>
      </c>
      <c r="D33" s="19">
        <f t="shared" si="11"/>
        <v>5007.1</v>
      </c>
      <c r="E33" s="8">
        <f>580.3+4426.8</f>
        <v>5007.1</v>
      </c>
      <c r="F33" s="8"/>
      <c r="G33" s="18"/>
      <c r="H33" s="19"/>
      <c r="I33" s="8"/>
      <c r="J33" s="8"/>
      <c r="K33" s="18"/>
      <c r="L33" s="129">
        <f t="shared" si="12"/>
        <v>0</v>
      </c>
      <c r="M33" s="124"/>
      <c r="N33" s="124"/>
      <c r="O33" s="125"/>
      <c r="P33" s="145">
        <f t="shared" si="13"/>
        <v>737.2</v>
      </c>
      <c r="Q33" s="146">
        <v>737.2</v>
      </c>
      <c r="R33" s="148"/>
      <c r="S33" s="173"/>
      <c r="T33" s="179"/>
      <c r="U33" s="168"/>
      <c r="V33" s="169"/>
      <c r="W33" s="190"/>
      <c r="Z33" s="7"/>
    </row>
    <row r="34" spans="1:26" ht="12.75">
      <c r="A34" s="47" t="s">
        <v>16</v>
      </c>
      <c r="B34" s="74">
        <v>1</v>
      </c>
      <c r="C34" s="75">
        <v>10</v>
      </c>
      <c r="D34" s="19">
        <f>E34+F34+G34</f>
        <v>19362.5</v>
      </c>
      <c r="E34" s="8">
        <f>15961.3+1865.4+477.1</f>
        <v>18303.8</v>
      </c>
      <c r="F34" s="8">
        <v>85.9</v>
      </c>
      <c r="G34" s="18">
        <v>972.8</v>
      </c>
      <c r="H34" s="19"/>
      <c r="I34" s="8"/>
      <c r="J34" s="8"/>
      <c r="K34" s="18"/>
      <c r="L34" s="129">
        <f t="shared" si="12"/>
        <v>1057.9</v>
      </c>
      <c r="M34" s="124">
        <v>1057.9</v>
      </c>
      <c r="N34" s="124"/>
      <c r="O34" s="125"/>
      <c r="P34" s="145">
        <f t="shared" si="13"/>
        <v>22221.2</v>
      </c>
      <c r="Q34" s="146">
        <f>18792.9+2369.6</f>
        <v>21162.5</v>
      </c>
      <c r="R34" s="146">
        <v>85.9</v>
      </c>
      <c r="S34" s="172">
        <v>972.8</v>
      </c>
      <c r="T34" s="179"/>
      <c r="U34" s="168"/>
      <c r="V34" s="169"/>
      <c r="W34" s="190"/>
      <c r="Z34" s="7"/>
    </row>
    <row r="35" spans="1:26" ht="25.5">
      <c r="A35" s="47" t="s">
        <v>17</v>
      </c>
      <c r="B35" s="74">
        <v>1</v>
      </c>
      <c r="C35" s="75">
        <v>11</v>
      </c>
      <c r="D35" s="19">
        <f t="shared" si="11"/>
        <v>0</v>
      </c>
      <c r="E35" s="8"/>
      <c r="F35" s="8"/>
      <c r="G35" s="18"/>
      <c r="H35" s="19"/>
      <c r="I35" s="8"/>
      <c r="J35" s="8"/>
      <c r="K35" s="18"/>
      <c r="L35" s="129">
        <f t="shared" si="12"/>
        <v>0</v>
      </c>
      <c r="M35" s="124"/>
      <c r="N35" s="124"/>
      <c r="O35" s="125"/>
      <c r="P35" s="147">
        <f t="shared" si="13"/>
        <v>0</v>
      </c>
      <c r="Q35" s="148"/>
      <c r="R35" s="148"/>
      <c r="S35" s="173"/>
      <c r="T35" s="179"/>
      <c r="U35" s="168"/>
      <c r="V35" s="169"/>
      <c r="W35" s="190"/>
      <c r="Z35" s="7"/>
    </row>
    <row r="36" spans="1:26" ht="12.75">
      <c r="A36" s="47" t="s">
        <v>18</v>
      </c>
      <c r="B36" s="74">
        <v>1</v>
      </c>
      <c r="C36" s="75">
        <v>12</v>
      </c>
      <c r="D36" s="19">
        <f t="shared" si="11"/>
        <v>254.6</v>
      </c>
      <c r="E36" s="10">
        <v>254.6</v>
      </c>
      <c r="F36" s="8"/>
      <c r="G36" s="18"/>
      <c r="H36" s="19"/>
      <c r="I36" s="10"/>
      <c r="J36" s="8"/>
      <c r="K36" s="18"/>
      <c r="L36" s="129">
        <f t="shared" si="12"/>
        <v>0</v>
      </c>
      <c r="M36" s="124"/>
      <c r="N36" s="124"/>
      <c r="O36" s="125"/>
      <c r="P36" s="147">
        <f t="shared" si="13"/>
        <v>0</v>
      </c>
      <c r="Q36" s="148"/>
      <c r="R36" s="148"/>
      <c r="S36" s="173"/>
      <c r="T36" s="179"/>
      <c r="U36" s="168"/>
      <c r="V36" s="169"/>
      <c r="W36" s="190"/>
      <c r="Z36" s="7"/>
    </row>
    <row r="37" spans="1:26" ht="12.75">
      <c r="A37" s="47" t="s">
        <v>19</v>
      </c>
      <c r="B37" s="74">
        <v>1</v>
      </c>
      <c r="C37" s="75">
        <v>13</v>
      </c>
      <c r="D37" s="19">
        <f t="shared" si="11"/>
        <v>4523.700000000001</v>
      </c>
      <c r="E37" s="8">
        <v>2101.3</v>
      </c>
      <c r="F37" s="8">
        <v>2422.4</v>
      </c>
      <c r="G37" s="18"/>
      <c r="H37" s="19"/>
      <c r="I37" s="8"/>
      <c r="J37" s="8"/>
      <c r="K37" s="18"/>
      <c r="L37" s="129">
        <f t="shared" si="12"/>
        <v>0</v>
      </c>
      <c r="M37" s="124"/>
      <c r="N37" s="124"/>
      <c r="O37" s="125"/>
      <c r="P37" s="145">
        <f t="shared" si="13"/>
        <v>5229.700000000001</v>
      </c>
      <c r="Q37" s="146">
        <v>2807.3</v>
      </c>
      <c r="R37" s="146">
        <v>2422.4</v>
      </c>
      <c r="S37" s="172"/>
      <c r="T37" s="179"/>
      <c r="U37" s="168"/>
      <c r="V37" s="169"/>
      <c r="W37" s="190"/>
      <c r="Z37" s="7"/>
    </row>
    <row r="38" spans="1:26" ht="25.5">
      <c r="A38" s="47" t="s">
        <v>20</v>
      </c>
      <c r="B38" s="74">
        <v>1</v>
      </c>
      <c r="C38" s="75">
        <v>14</v>
      </c>
      <c r="D38" s="19">
        <f t="shared" si="11"/>
        <v>2533.2</v>
      </c>
      <c r="E38" s="8">
        <v>2533.2</v>
      </c>
      <c r="F38" s="8"/>
      <c r="G38" s="18"/>
      <c r="H38" s="19"/>
      <c r="I38" s="8"/>
      <c r="J38" s="8"/>
      <c r="K38" s="18"/>
      <c r="L38" s="129">
        <f t="shared" si="12"/>
        <v>0</v>
      </c>
      <c r="M38" s="124"/>
      <c r="N38" s="124"/>
      <c r="O38" s="125"/>
      <c r="P38" s="145">
        <f t="shared" si="13"/>
        <v>3127.1</v>
      </c>
      <c r="Q38" s="146">
        <v>3127.1</v>
      </c>
      <c r="R38" s="148"/>
      <c r="S38" s="173"/>
      <c r="T38" s="179"/>
      <c r="U38" s="168"/>
      <c r="V38" s="169"/>
      <c r="W38" s="190"/>
      <c r="Z38" s="7"/>
    </row>
    <row r="39" spans="1:26" ht="25.5">
      <c r="A39" s="47" t="s">
        <v>21</v>
      </c>
      <c r="B39" s="74">
        <v>1</v>
      </c>
      <c r="C39" s="75">
        <v>15</v>
      </c>
      <c r="D39" s="19">
        <f t="shared" si="11"/>
        <v>3812.1</v>
      </c>
      <c r="E39" s="8">
        <f>1033.1+739.2</f>
        <v>1772.3</v>
      </c>
      <c r="F39" s="8">
        <v>2039.8</v>
      </c>
      <c r="G39" s="18"/>
      <c r="H39" s="19"/>
      <c r="I39" s="8"/>
      <c r="J39" s="8"/>
      <c r="K39" s="18"/>
      <c r="L39" s="129">
        <f t="shared" si="12"/>
        <v>0</v>
      </c>
      <c r="M39" s="124"/>
      <c r="N39" s="124"/>
      <c r="O39" s="125"/>
      <c r="P39" s="145">
        <f t="shared" si="13"/>
        <v>4684.9</v>
      </c>
      <c r="Q39" s="146">
        <f>1387.8+1257.3</f>
        <v>2645.1</v>
      </c>
      <c r="R39" s="146">
        <v>2039.8</v>
      </c>
      <c r="S39" s="173"/>
      <c r="T39" s="179"/>
      <c r="U39" s="168"/>
      <c r="V39" s="169"/>
      <c r="W39" s="190"/>
      <c r="Z39" s="7"/>
    </row>
    <row r="40" spans="1:26" ht="25.5">
      <c r="A40" s="47" t="s">
        <v>22</v>
      </c>
      <c r="B40" s="74">
        <v>1</v>
      </c>
      <c r="C40" s="75">
        <v>19</v>
      </c>
      <c r="D40" s="19">
        <f t="shared" si="11"/>
        <v>1178.8000000000002</v>
      </c>
      <c r="E40" s="8">
        <v>898.2</v>
      </c>
      <c r="F40" s="8">
        <v>280.6</v>
      </c>
      <c r="G40" s="18"/>
      <c r="H40" s="19"/>
      <c r="I40" s="8"/>
      <c r="J40" s="8"/>
      <c r="K40" s="18"/>
      <c r="L40" s="129">
        <f t="shared" si="12"/>
        <v>0</v>
      </c>
      <c r="M40" s="124"/>
      <c r="N40" s="124"/>
      <c r="O40" s="125"/>
      <c r="P40" s="145">
        <f t="shared" si="13"/>
        <v>1459</v>
      </c>
      <c r="Q40" s="146">
        <v>1178.4</v>
      </c>
      <c r="R40" s="146">
        <v>280.6</v>
      </c>
      <c r="S40" s="172"/>
      <c r="T40" s="179"/>
      <c r="U40" s="168"/>
      <c r="V40" s="169"/>
      <c r="W40" s="190"/>
      <c r="Z40" s="7"/>
    </row>
    <row r="41" spans="1:26" ht="25.5">
      <c r="A41" s="47" t="s">
        <v>23</v>
      </c>
      <c r="B41" s="74">
        <v>1</v>
      </c>
      <c r="C41" s="75">
        <v>20</v>
      </c>
      <c r="D41" s="19">
        <f t="shared" si="11"/>
        <v>2901.8999999999996</v>
      </c>
      <c r="E41" s="8">
        <f>2054.3+847.6+12341.9-12341.9</f>
        <v>2901.8999999999996</v>
      </c>
      <c r="F41" s="8"/>
      <c r="G41" s="18"/>
      <c r="H41" s="19"/>
      <c r="I41" s="8"/>
      <c r="J41" s="8"/>
      <c r="K41" s="18"/>
      <c r="L41" s="129">
        <f t="shared" si="12"/>
        <v>1030.2</v>
      </c>
      <c r="M41" s="124">
        <v>1030.2</v>
      </c>
      <c r="N41" s="124"/>
      <c r="O41" s="125"/>
      <c r="P41" s="145">
        <f t="shared" si="13"/>
        <v>2549.6</v>
      </c>
      <c r="Q41" s="146">
        <v>2549.6</v>
      </c>
      <c r="R41" s="146"/>
      <c r="S41" s="172"/>
      <c r="T41" s="180"/>
      <c r="U41" s="168"/>
      <c r="V41" s="169"/>
      <c r="W41" s="188"/>
      <c r="Z41" s="7"/>
    </row>
    <row r="42" spans="1:23" s="12" customFormat="1" ht="15">
      <c r="A42" s="45" t="s">
        <v>25</v>
      </c>
      <c r="B42" s="70">
        <v>12</v>
      </c>
      <c r="C42" s="76"/>
      <c r="D42" s="33"/>
      <c r="E42" s="11"/>
      <c r="F42" s="11"/>
      <c r="G42" s="31"/>
      <c r="H42" s="33"/>
      <c r="I42" s="11"/>
      <c r="J42" s="11"/>
      <c r="K42" s="31"/>
      <c r="L42" s="40"/>
      <c r="M42" s="11"/>
      <c r="N42" s="11"/>
      <c r="O42" s="35"/>
      <c r="P42" s="40"/>
      <c r="Q42" s="11"/>
      <c r="R42" s="11"/>
      <c r="S42" s="35"/>
      <c r="T42" s="178"/>
      <c r="U42" s="167"/>
      <c r="V42" s="163"/>
      <c r="W42" s="187"/>
    </row>
    <row r="43" spans="1:23" s="6" customFormat="1" ht="12.75">
      <c r="A43" s="46" t="s">
        <v>8</v>
      </c>
      <c r="B43" s="77">
        <v>12</v>
      </c>
      <c r="C43" s="73" t="s">
        <v>9</v>
      </c>
      <c r="D43" s="17">
        <f>SUM(D44:D52)</f>
        <v>138099.9</v>
      </c>
      <c r="E43" s="5">
        <f>SUM(E44:E52)</f>
        <v>135397.9</v>
      </c>
      <c r="F43" s="5">
        <f>SUM(F44:F52)</f>
        <v>2384.4</v>
      </c>
      <c r="G43" s="16">
        <f>SUM(G44:G52)</f>
        <v>317.6</v>
      </c>
      <c r="H43" s="17">
        <f>SUM(H44:H52)</f>
        <v>0</v>
      </c>
      <c r="I43" s="5">
        <f aca="true" t="shared" si="14" ref="I43:O43">SUM(I44:I52)</f>
        <v>0</v>
      </c>
      <c r="J43" s="5">
        <f t="shared" si="14"/>
        <v>0</v>
      </c>
      <c r="K43" s="16">
        <f t="shared" si="14"/>
        <v>0</v>
      </c>
      <c r="L43" s="38">
        <f t="shared" si="14"/>
        <v>155294.40000000002</v>
      </c>
      <c r="M43" s="5">
        <f t="shared" si="14"/>
        <v>153078.50000000003</v>
      </c>
      <c r="N43" s="5">
        <f t="shared" si="14"/>
        <v>1808.6999999999998</v>
      </c>
      <c r="O43" s="13">
        <f t="shared" si="14"/>
        <v>407.2</v>
      </c>
      <c r="P43" s="143">
        <f>SUM(P44:P52)</f>
        <v>149261.90000000002</v>
      </c>
      <c r="Q43" s="144">
        <f>SUM(Q44:Q52)</f>
        <v>146559.90000000002</v>
      </c>
      <c r="R43" s="144">
        <f>SUM(R44:R52)</f>
        <v>2384.4</v>
      </c>
      <c r="S43" s="171">
        <f>SUM(S44:S52)</f>
        <v>317.6</v>
      </c>
      <c r="T43" s="178"/>
      <c r="U43" s="167"/>
      <c r="V43" s="163"/>
      <c r="W43" s="187"/>
    </row>
    <row r="44" spans="1:23" ht="12.75">
      <c r="A44" s="47" t="s">
        <v>10</v>
      </c>
      <c r="B44" s="78">
        <v>12</v>
      </c>
      <c r="C44" s="75">
        <v>1</v>
      </c>
      <c r="D44" s="19">
        <f aca="true" t="shared" si="15" ref="D44:D49">E44+F44+G44</f>
        <v>4704.1</v>
      </c>
      <c r="E44" s="8">
        <v>3875.8</v>
      </c>
      <c r="F44" s="8">
        <v>828.3</v>
      </c>
      <c r="G44" s="18"/>
      <c r="H44" s="19"/>
      <c r="I44" s="8"/>
      <c r="J44" s="8"/>
      <c r="K44" s="18"/>
      <c r="L44" s="39">
        <f aca="true" t="shared" si="16" ref="L44:L49">M44+N44+O44</f>
        <v>6286.4</v>
      </c>
      <c r="M44" s="8">
        <v>5451</v>
      </c>
      <c r="N44" s="8">
        <v>835.4</v>
      </c>
      <c r="O44" s="14"/>
      <c r="P44" s="145">
        <f aca="true" t="shared" si="17" ref="P44:P49">Q44+R44+S44</f>
        <v>6174.8</v>
      </c>
      <c r="Q44" s="146">
        <v>5346.5</v>
      </c>
      <c r="R44" s="146">
        <v>828.3</v>
      </c>
      <c r="S44" s="172"/>
      <c r="T44" s="179"/>
      <c r="U44" s="168"/>
      <c r="V44" s="169"/>
      <c r="W44" s="190"/>
    </row>
    <row r="45" spans="1:23" ht="12.75">
      <c r="A45" s="47" t="s">
        <v>11</v>
      </c>
      <c r="B45" s="78">
        <v>12</v>
      </c>
      <c r="C45" s="75">
        <v>3</v>
      </c>
      <c r="D45" s="19">
        <f t="shared" si="15"/>
        <v>115.2</v>
      </c>
      <c r="E45" s="8">
        <v>115.2</v>
      </c>
      <c r="F45" s="8"/>
      <c r="G45" s="18"/>
      <c r="H45" s="19"/>
      <c r="I45" s="8"/>
      <c r="J45" s="8"/>
      <c r="K45" s="18"/>
      <c r="L45" s="39">
        <f t="shared" si="16"/>
        <v>165.1</v>
      </c>
      <c r="M45" s="8">
        <v>165.1</v>
      </c>
      <c r="N45" s="8"/>
      <c r="O45" s="14"/>
      <c r="P45" s="145">
        <f t="shared" si="17"/>
        <v>134.4</v>
      </c>
      <c r="Q45" s="146">
        <v>134.4</v>
      </c>
      <c r="R45" s="146"/>
      <c r="S45" s="172"/>
      <c r="T45" s="179"/>
      <c r="U45" s="168"/>
      <c r="V45" s="169"/>
      <c r="W45" s="190"/>
    </row>
    <row r="46" spans="1:23" ht="25.5">
      <c r="A46" s="47" t="s">
        <v>12</v>
      </c>
      <c r="B46" s="78">
        <v>12</v>
      </c>
      <c r="C46" s="75">
        <v>5</v>
      </c>
      <c r="D46" s="19">
        <f t="shared" si="15"/>
        <v>11935.3</v>
      </c>
      <c r="E46" s="8">
        <v>11935.3</v>
      </c>
      <c r="F46" s="8"/>
      <c r="G46" s="18"/>
      <c r="H46" s="19"/>
      <c r="I46" s="8"/>
      <c r="J46" s="8"/>
      <c r="K46" s="18"/>
      <c r="L46" s="39">
        <f t="shared" si="16"/>
        <v>13869.7</v>
      </c>
      <c r="M46" s="8">
        <v>13869.7</v>
      </c>
      <c r="N46" s="8"/>
      <c r="O46" s="14"/>
      <c r="P46" s="145">
        <f t="shared" si="17"/>
        <v>14246.5</v>
      </c>
      <c r="Q46" s="146">
        <v>14246.5</v>
      </c>
      <c r="R46" s="146"/>
      <c r="S46" s="172"/>
      <c r="T46" s="179"/>
      <c r="U46" s="168"/>
      <c r="V46" s="169"/>
      <c r="W46" s="190"/>
    </row>
    <row r="47" spans="1:23" ht="12.75">
      <c r="A47" s="47" t="s">
        <v>13</v>
      </c>
      <c r="B47" s="78">
        <v>12</v>
      </c>
      <c r="C47" s="75">
        <v>6</v>
      </c>
      <c r="D47" s="19">
        <f t="shared" si="15"/>
        <v>109628.5</v>
      </c>
      <c r="E47" s="8">
        <f>107875.6+480.7</f>
        <v>108356.3</v>
      </c>
      <c r="F47" s="8">
        <v>1272.2</v>
      </c>
      <c r="G47" s="18"/>
      <c r="H47" s="19"/>
      <c r="I47" s="8"/>
      <c r="J47" s="8"/>
      <c r="K47" s="18"/>
      <c r="L47" s="39">
        <f t="shared" si="16"/>
        <v>114321.9</v>
      </c>
      <c r="M47" s="8">
        <v>114321.9</v>
      </c>
      <c r="N47" s="8"/>
      <c r="O47" s="14"/>
      <c r="P47" s="145">
        <f t="shared" si="17"/>
        <v>114984.9</v>
      </c>
      <c r="Q47" s="146">
        <f>114984.9-1272.2</f>
        <v>113712.7</v>
      </c>
      <c r="R47" s="146">
        <v>1272.2</v>
      </c>
      <c r="S47" s="172"/>
      <c r="T47" s="179"/>
      <c r="U47" s="168"/>
      <c r="V47" s="169"/>
      <c r="W47" s="190"/>
    </row>
    <row r="48" spans="1:23" ht="25.5">
      <c r="A48" s="47" t="s">
        <v>14</v>
      </c>
      <c r="B48" s="78">
        <v>12</v>
      </c>
      <c r="C48" s="75">
        <v>8</v>
      </c>
      <c r="D48" s="19">
        <f t="shared" si="15"/>
        <v>4438.499999999999</v>
      </c>
      <c r="E48" s="8">
        <f>4030.2+124.4</f>
        <v>4154.599999999999</v>
      </c>
      <c r="F48" s="8">
        <v>283.9</v>
      </c>
      <c r="G48" s="18"/>
      <c r="H48" s="19"/>
      <c r="I48" s="8"/>
      <c r="J48" s="8"/>
      <c r="K48" s="18"/>
      <c r="L48" s="39">
        <f t="shared" si="16"/>
        <v>12471.5</v>
      </c>
      <c r="M48" s="8">
        <v>11661.1</v>
      </c>
      <c r="N48" s="8">
        <v>810.4</v>
      </c>
      <c r="O48" s="14"/>
      <c r="P48" s="145">
        <f t="shared" si="17"/>
        <v>5434.1</v>
      </c>
      <c r="Q48" s="146">
        <f>5434.1-283.9</f>
        <v>5150.200000000001</v>
      </c>
      <c r="R48" s="146">
        <v>283.9</v>
      </c>
      <c r="S48" s="172"/>
      <c r="T48" s="179"/>
      <c r="U48" s="168"/>
      <c r="V48" s="169"/>
      <c r="W48" s="190"/>
    </row>
    <row r="49" spans="1:23" ht="12.75">
      <c r="A49" s="47" t="s">
        <v>15</v>
      </c>
      <c r="B49" s="78">
        <v>12</v>
      </c>
      <c r="C49" s="75">
        <v>9</v>
      </c>
      <c r="D49" s="19">
        <f t="shared" si="15"/>
        <v>207.3</v>
      </c>
      <c r="E49" s="8">
        <v>207.3</v>
      </c>
      <c r="F49" s="8"/>
      <c r="G49" s="18"/>
      <c r="H49" s="19"/>
      <c r="I49" s="8"/>
      <c r="J49" s="8"/>
      <c r="K49" s="18"/>
      <c r="L49" s="39">
        <f t="shared" si="16"/>
        <v>155.7</v>
      </c>
      <c r="M49" s="8">
        <v>155.7</v>
      </c>
      <c r="N49" s="8"/>
      <c r="O49" s="14"/>
      <c r="P49" s="145">
        <f t="shared" si="17"/>
        <v>263.3</v>
      </c>
      <c r="Q49" s="146">
        <v>263.3</v>
      </c>
      <c r="R49" s="146"/>
      <c r="S49" s="172"/>
      <c r="T49" s="179"/>
      <c r="U49" s="168"/>
      <c r="V49" s="169"/>
      <c r="W49" s="190"/>
    </row>
    <row r="50" spans="1:23" ht="12.75">
      <c r="A50" s="47" t="s">
        <v>16</v>
      </c>
      <c r="B50" s="78">
        <v>12</v>
      </c>
      <c r="C50" s="75">
        <v>10</v>
      </c>
      <c r="D50" s="19">
        <f>E50+F50+G50</f>
        <v>6654.6</v>
      </c>
      <c r="E50" s="8">
        <f>5838.4+331.6+167</f>
        <v>6337</v>
      </c>
      <c r="F50" s="8"/>
      <c r="G50" s="18">
        <v>317.6</v>
      </c>
      <c r="H50" s="19"/>
      <c r="I50" s="8"/>
      <c r="J50" s="8"/>
      <c r="K50" s="18"/>
      <c r="L50" s="39">
        <f>M50+N50+O50</f>
        <v>7511</v>
      </c>
      <c r="M50" s="8">
        <v>7040.5</v>
      </c>
      <c r="N50" s="8">
        <v>63.3</v>
      </c>
      <c r="O50" s="14">
        <v>407.2</v>
      </c>
      <c r="P50" s="145">
        <f>Q50+R50+S50</f>
        <v>7571.200000000001</v>
      </c>
      <c r="Q50" s="146">
        <f>6832.3+421.3</f>
        <v>7253.6</v>
      </c>
      <c r="R50" s="146"/>
      <c r="S50" s="172">
        <v>317.6</v>
      </c>
      <c r="T50" s="179"/>
      <c r="U50" s="168"/>
      <c r="V50" s="169"/>
      <c r="W50" s="190"/>
    </row>
    <row r="51" spans="1:23" ht="25.5">
      <c r="A51" s="47" t="s">
        <v>21</v>
      </c>
      <c r="B51" s="78">
        <v>12</v>
      </c>
      <c r="C51" s="75">
        <v>15</v>
      </c>
      <c r="D51" s="29"/>
      <c r="E51" s="2"/>
      <c r="F51" s="2"/>
      <c r="G51" s="18"/>
      <c r="H51" s="29"/>
      <c r="I51" s="2"/>
      <c r="J51" s="2"/>
      <c r="K51" s="18"/>
      <c r="L51" s="36"/>
      <c r="M51" s="8"/>
      <c r="N51" s="2"/>
      <c r="O51" s="14"/>
      <c r="P51" s="149"/>
      <c r="Q51" s="146"/>
      <c r="R51" s="150"/>
      <c r="S51" s="172"/>
      <c r="T51" s="179"/>
      <c r="U51" s="168"/>
      <c r="V51" s="169"/>
      <c r="W51" s="190"/>
    </row>
    <row r="52" spans="1:23" ht="25.5">
      <c r="A52" s="47" t="s">
        <v>23</v>
      </c>
      <c r="B52" s="78">
        <v>12</v>
      </c>
      <c r="C52" s="75">
        <v>20</v>
      </c>
      <c r="D52" s="19">
        <f>E52+F52+G52</f>
        <v>416.40000000000003</v>
      </c>
      <c r="E52" s="10">
        <f>364.7+150.5-98.8</f>
        <v>416.40000000000003</v>
      </c>
      <c r="F52" s="8"/>
      <c r="G52" s="18"/>
      <c r="H52" s="19"/>
      <c r="I52" s="10"/>
      <c r="J52" s="8"/>
      <c r="K52" s="18"/>
      <c r="L52" s="39">
        <f>M52+N52+O52</f>
        <v>513.1</v>
      </c>
      <c r="M52" s="8">
        <v>413.5</v>
      </c>
      <c r="N52" s="2">
        <v>99.6</v>
      </c>
      <c r="O52" s="14"/>
      <c r="P52" s="145">
        <f>Q52+R52+S52</f>
        <v>452.7</v>
      </c>
      <c r="Q52" s="146">
        <v>452.7</v>
      </c>
      <c r="R52" s="150"/>
      <c r="S52" s="172"/>
      <c r="T52" s="181"/>
      <c r="U52" s="168"/>
      <c r="V52" s="169"/>
      <c r="W52" s="188"/>
    </row>
    <row r="53" spans="1:23" s="12" customFormat="1" ht="15">
      <c r="A53" s="48" t="s">
        <v>26</v>
      </c>
      <c r="B53" s="70">
        <v>30</v>
      </c>
      <c r="C53" s="76"/>
      <c r="D53" s="33"/>
      <c r="E53" s="11"/>
      <c r="F53" s="11"/>
      <c r="G53" s="31"/>
      <c r="H53" s="33"/>
      <c r="I53" s="11"/>
      <c r="J53" s="11"/>
      <c r="K53" s="31"/>
      <c r="L53" s="40"/>
      <c r="M53" s="11"/>
      <c r="N53" s="11"/>
      <c r="O53" s="35"/>
      <c r="P53" s="40"/>
      <c r="Q53" s="11"/>
      <c r="R53" s="11"/>
      <c r="S53" s="35"/>
      <c r="T53" s="178"/>
      <c r="U53" s="167"/>
      <c r="V53" s="163"/>
      <c r="W53" s="187"/>
    </row>
    <row r="54" spans="1:23" s="6" customFormat="1" ht="12.75">
      <c r="A54" s="46" t="s">
        <v>8</v>
      </c>
      <c r="B54" s="77">
        <v>30</v>
      </c>
      <c r="C54" s="73" t="s">
        <v>9</v>
      </c>
      <c r="D54" s="17">
        <f>SUM(D55:D65)</f>
        <v>97991.4</v>
      </c>
      <c r="E54" s="5">
        <f>SUM(E55:E65)</f>
        <v>97765.19999999998</v>
      </c>
      <c r="F54" s="5">
        <f>SUM(F55:F65)</f>
        <v>226.20000000000002</v>
      </c>
      <c r="G54" s="16">
        <f>SUM(G55:G65)</f>
        <v>0</v>
      </c>
      <c r="H54" s="17">
        <f aca="true" t="shared" si="18" ref="H54:O54">SUM(H55:H65)</f>
        <v>0</v>
      </c>
      <c r="I54" s="5">
        <f t="shared" si="18"/>
        <v>0</v>
      </c>
      <c r="J54" s="5">
        <f t="shared" si="18"/>
        <v>0</v>
      </c>
      <c r="K54" s="16">
        <f t="shared" si="18"/>
        <v>0</v>
      </c>
      <c r="L54" s="38">
        <f t="shared" si="18"/>
        <v>111343.1</v>
      </c>
      <c r="M54" s="5">
        <f t="shared" si="18"/>
        <v>110878.20000000003</v>
      </c>
      <c r="N54" s="5">
        <f t="shared" si="18"/>
        <v>464.9</v>
      </c>
      <c r="O54" s="13">
        <f t="shared" si="18"/>
        <v>0</v>
      </c>
      <c r="P54" s="143">
        <f>SUM(P55:P65)</f>
        <v>107585.70000000001</v>
      </c>
      <c r="Q54" s="144">
        <f>SUM(Q55:Q65)</f>
        <v>107359.5</v>
      </c>
      <c r="R54" s="144">
        <f>SUM(R55:R65)</f>
        <v>226.20000000000002</v>
      </c>
      <c r="S54" s="171">
        <f>SUM(S55:S65)</f>
        <v>0</v>
      </c>
      <c r="T54" s="178"/>
      <c r="U54" s="167"/>
      <c r="V54" s="163"/>
      <c r="W54" s="187"/>
    </row>
    <row r="55" spans="1:23" ht="12.75">
      <c r="A55" s="47" t="s">
        <v>10</v>
      </c>
      <c r="B55" s="78">
        <v>30</v>
      </c>
      <c r="C55" s="75">
        <v>1</v>
      </c>
      <c r="D55" s="19">
        <f aca="true" t="shared" si="19" ref="D55:D65">E55+F55+G55</f>
        <v>8104</v>
      </c>
      <c r="E55" s="8">
        <v>8104</v>
      </c>
      <c r="F55" s="8"/>
      <c r="G55" s="18"/>
      <c r="H55" s="19"/>
      <c r="I55" s="8"/>
      <c r="J55" s="8"/>
      <c r="K55" s="18"/>
      <c r="L55" s="39">
        <f aca="true" t="shared" si="20" ref="L55:L65">M55+N55+O55</f>
        <v>9866.800000000001</v>
      </c>
      <c r="M55" s="8">
        <v>9828.6</v>
      </c>
      <c r="N55" s="8">
        <v>38.2</v>
      </c>
      <c r="O55" s="14"/>
      <c r="P55" s="145">
        <f aca="true" t="shared" si="21" ref="P55:P65">Q55+R55+S55</f>
        <v>10245.2</v>
      </c>
      <c r="Q55" s="146">
        <v>10245.2</v>
      </c>
      <c r="R55" s="146"/>
      <c r="S55" s="172"/>
      <c r="T55" s="179"/>
      <c r="U55" s="168"/>
      <c r="V55" s="169"/>
      <c r="W55" s="190"/>
    </row>
    <row r="56" spans="1:23" ht="12.75">
      <c r="A56" s="47" t="s">
        <v>11</v>
      </c>
      <c r="B56" s="78">
        <v>30</v>
      </c>
      <c r="C56" s="75">
        <v>3</v>
      </c>
      <c r="D56" s="19">
        <f t="shared" si="19"/>
        <v>67.8</v>
      </c>
      <c r="E56" s="8">
        <v>67.8</v>
      </c>
      <c r="F56" s="8"/>
      <c r="G56" s="18"/>
      <c r="H56" s="19"/>
      <c r="I56" s="8"/>
      <c r="J56" s="8"/>
      <c r="K56" s="18"/>
      <c r="L56" s="39">
        <f t="shared" si="20"/>
        <v>91</v>
      </c>
      <c r="M56" s="8">
        <v>91</v>
      </c>
      <c r="N56" s="8"/>
      <c r="O56" s="14"/>
      <c r="P56" s="145">
        <f t="shared" si="21"/>
        <v>78.5</v>
      </c>
      <c r="Q56" s="146">
        <v>78.5</v>
      </c>
      <c r="R56" s="146"/>
      <c r="S56" s="172"/>
      <c r="T56" s="179"/>
      <c r="U56" s="168"/>
      <c r="V56" s="169"/>
      <c r="W56" s="190"/>
    </row>
    <row r="57" spans="1:23" ht="25.5">
      <c r="A57" s="47" t="s">
        <v>12</v>
      </c>
      <c r="B57" s="78">
        <v>30</v>
      </c>
      <c r="C57" s="75">
        <v>5</v>
      </c>
      <c r="D57" s="19">
        <f t="shared" si="19"/>
        <v>3250.2</v>
      </c>
      <c r="E57" s="8">
        <v>3250.2</v>
      </c>
      <c r="F57" s="8"/>
      <c r="G57" s="18"/>
      <c r="H57" s="19"/>
      <c r="I57" s="8"/>
      <c r="J57" s="8"/>
      <c r="K57" s="18"/>
      <c r="L57" s="39">
        <f t="shared" si="20"/>
        <v>4001.5</v>
      </c>
      <c r="M57" s="8">
        <v>4001.5</v>
      </c>
      <c r="N57" s="8"/>
      <c r="O57" s="14"/>
      <c r="P57" s="145">
        <f t="shared" si="21"/>
        <v>3920.9</v>
      </c>
      <c r="Q57" s="146">
        <v>3920.9</v>
      </c>
      <c r="R57" s="146"/>
      <c r="S57" s="172"/>
      <c r="T57" s="179"/>
      <c r="U57" s="168"/>
      <c r="V57" s="169"/>
      <c r="W57" s="190"/>
    </row>
    <row r="58" spans="1:23" ht="12.75">
      <c r="A58" s="47" t="s">
        <v>13</v>
      </c>
      <c r="B58" s="78">
        <v>30</v>
      </c>
      <c r="C58" s="75">
        <v>6</v>
      </c>
      <c r="D58" s="19">
        <f t="shared" si="19"/>
        <v>76705.3</v>
      </c>
      <c r="E58" s="8">
        <f>75925.7+560.8</f>
        <v>76486.5</v>
      </c>
      <c r="F58" s="8">
        <v>218.8</v>
      </c>
      <c r="G58" s="18"/>
      <c r="H58" s="19"/>
      <c r="I58" s="8"/>
      <c r="J58" s="8"/>
      <c r="K58" s="18"/>
      <c r="L58" s="39">
        <f t="shared" si="20"/>
        <v>83663.3</v>
      </c>
      <c r="M58" s="8">
        <v>83366.3</v>
      </c>
      <c r="N58" s="8">
        <v>297</v>
      </c>
      <c r="O58" s="14"/>
      <c r="P58" s="145">
        <f t="shared" si="21"/>
        <v>80761.5</v>
      </c>
      <c r="Q58" s="146">
        <f>80761.5-218.8</f>
        <v>80542.7</v>
      </c>
      <c r="R58" s="146">
        <v>218.8</v>
      </c>
      <c r="S58" s="172"/>
      <c r="T58" s="179"/>
      <c r="U58" s="168"/>
      <c r="V58" s="169"/>
      <c r="W58" s="190"/>
    </row>
    <row r="59" spans="1:23" ht="25.5">
      <c r="A59" s="47" t="s">
        <v>14</v>
      </c>
      <c r="B59" s="78">
        <v>30</v>
      </c>
      <c r="C59" s="75">
        <v>8</v>
      </c>
      <c r="D59" s="19">
        <f t="shared" si="19"/>
        <v>3382.1000000000004</v>
      </c>
      <c r="E59" s="8">
        <f>3250.3+124.4</f>
        <v>3374.7000000000003</v>
      </c>
      <c r="F59" s="8">
        <v>7.4</v>
      </c>
      <c r="G59" s="18"/>
      <c r="H59" s="19"/>
      <c r="I59" s="8"/>
      <c r="J59" s="8"/>
      <c r="K59" s="18"/>
      <c r="L59" s="39">
        <f t="shared" si="20"/>
        <v>5089.7</v>
      </c>
      <c r="M59" s="8">
        <v>5057.7</v>
      </c>
      <c r="N59" s="8">
        <v>32</v>
      </c>
      <c r="O59" s="14"/>
      <c r="P59" s="145">
        <f t="shared" si="21"/>
        <v>4411.8</v>
      </c>
      <c r="Q59" s="146">
        <f>4411.8-7.4</f>
        <v>4404.400000000001</v>
      </c>
      <c r="R59" s="146">
        <v>7.4</v>
      </c>
      <c r="S59" s="172"/>
      <c r="T59" s="179"/>
      <c r="U59" s="168"/>
      <c r="V59" s="169"/>
      <c r="W59" s="190"/>
    </row>
    <row r="60" spans="1:23" ht="12.75">
      <c r="A60" s="47" t="s">
        <v>16</v>
      </c>
      <c r="B60" s="78">
        <v>30</v>
      </c>
      <c r="C60" s="75">
        <v>10</v>
      </c>
      <c r="D60" s="19">
        <f t="shared" si="19"/>
        <v>4274.2</v>
      </c>
      <c r="E60" s="8">
        <f>3918.7+331.6+23.9</f>
        <v>4274.2</v>
      </c>
      <c r="F60" s="8"/>
      <c r="G60" s="18"/>
      <c r="H60" s="19"/>
      <c r="I60" s="8"/>
      <c r="J60" s="8"/>
      <c r="K60" s="18"/>
      <c r="L60" s="39">
        <f t="shared" si="20"/>
        <v>5788.3</v>
      </c>
      <c r="M60" s="8">
        <v>5788.3</v>
      </c>
      <c r="N60" s="8"/>
      <c r="O60" s="14"/>
      <c r="P60" s="145">
        <f t="shared" si="21"/>
        <v>5402.7</v>
      </c>
      <c r="Q60" s="146">
        <f>4981.4+421.3</f>
        <v>5402.7</v>
      </c>
      <c r="R60" s="146"/>
      <c r="S60" s="172"/>
      <c r="T60" s="179"/>
      <c r="U60" s="168"/>
      <c r="V60" s="169"/>
      <c r="W60" s="190"/>
    </row>
    <row r="61" spans="1:23" ht="25.5">
      <c r="A61" s="47" t="s">
        <v>17</v>
      </c>
      <c r="B61" s="78">
        <v>30</v>
      </c>
      <c r="C61" s="75">
        <v>11</v>
      </c>
      <c r="D61" s="19">
        <f t="shared" si="19"/>
        <v>231.9</v>
      </c>
      <c r="E61" s="8">
        <v>231.9</v>
      </c>
      <c r="F61" s="8"/>
      <c r="G61" s="18"/>
      <c r="H61" s="19"/>
      <c r="I61" s="8"/>
      <c r="J61" s="8"/>
      <c r="K61" s="18"/>
      <c r="L61" s="39">
        <f t="shared" si="20"/>
        <v>256.1</v>
      </c>
      <c r="M61" s="8">
        <v>256.1</v>
      </c>
      <c r="N61" s="8"/>
      <c r="O61" s="14"/>
      <c r="P61" s="145">
        <f t="shared" si="21"/>
        <v>299.1</v>
      </c>
      <c r="Q61" s="146">
        <v>299.1</v>
      </c>
      <c r="R61" s="146"/>
      <c r="S61" s="172"/>
      <c r="T61" s="179"/>
      <c r="U61" s="168"/>
      <c r="V61" s="169"/>
      <c r="W61" s="190"/>
    </row>
    <row r="62" spans="1:23" ht="12.75">
      <c r="A62" s="47" t="s">
        <v>19</v>
      </c>
      <c r="B62" s="78">
        <v>30</v>
      </c>
      <c r="C62" s="75">
        <v>13</v>
      </c>
      <c r="D62" s="19">
        <f t="shared" si="19"/>
        <v>133.4</v>
      </c>
      <c r="E62" s="8">
        <v>133.4</v>
      </c>
      <c r="F62" s="8"/>
      <c r="G62" s="18"/>
      <c r="H62" s="19"/>
      <c r="I62" s="8"/>
      <c r="J62" s="8"/>
      <c r="K62" s="18"/>
      <c r="L62" s="39">
        <f t="shared" si="20"/>
        <v>219.7</v>
      </c>
      <c r="M62" s="8">
        <v>219.7</v>
      </c>
      <c r="N62" s="8"/>
      <c r="O62" s="14"/>
      <c r="P62" s="145">
        <f t="shared" si="21"/>
        <v>178.2</v>
      </c>
      <c r="Q62" s="146">
        <v>178.2</v>
      </c>
      <c r="R62" s="146"/>
      <c r="S62" s="172"/>
      <c r="T62" s="179"/>
      <c r="U62" s="168"/>
      <c r="V62" s="169"/>
      <c r="W62" s="190"/>
    </row>
    <row r="63" spans="1:23" ht="25.5">
      <c r="A63" s="47" t="s">
        <v>27</v>
      </c>
      <c r="B63" s="78">
        <v>30</v>
      </c>
      <c r="C63" s="75">
        <v>15</v>
      </c>
      <c r="D63" s="19">
        <f t="shared" si="19"/>
        <v>0</v>
      </c>
      <c r="E63" s="8"/>
      <c r="F63" s="8"/>
      <c r="G63" s="18"/>
      <c r="H63" s="19"/>
      <c r="I63" s="8"/>
      <c r="J63" s="8"/>
      <c r="K63" s="18"/>
      <c r="L63" s="39">
        <f t="shared" si="20"/>
        <v>78</v>
      </c>
      <c r="M63" s="8">
        <v>30.6</v>
      </c>
      <c r="N63" s="8">
        <v>47.4</v>
      </c>
      <c r="O63" s="14"/>
      <c r="P63" s="145">
        <f t="shared" si="21"/>
        <v>0</v>
      </c>
      <c r="Q63" s="146">
        <v>0</v>
      </c>
      <c r="R63" s="146">
        <v>0</v>
      </c>
      <c r="S63" s="172"/>
      <c r="T63" s="179"/>
      <c r="U63" s="168"/>
      <c r="V63" s="169"/>
      <c r="W63" s="190"/>
    </row>
    <row r="64" spans="1:23" ht="25.5">
      <c r="A64" s="47" t="s">
        <v>22</v>
      </c>
      <c r="B64" s="78">
        <v>30</v>
      </c>
      <c r="C64" s="75">
        <v>19</v>
      </c>
      <c r="D64" s="19">
        <f t="shared" si="19"/>
        <v>53.9</v>
      </c>
      <c r="E64" s="8">
        <v>53.9</v>
      </c>
      <c r="F64" s="8"/>
      <c r="G64" s="18"/>
      <c r="H64" s="19"/>
      <c r="I64" s="8"/>
      <c r="J64" s="8"/>
      <c r="K64" s="18"/>
      <c r="L64" s="39">
        <f t="shared" si="20"/>
        <v>66.8</v>
      </c>
      <c r="M64" s="8">
        <v>66.8</v>
      </c>
      <c r="N64" s="8"/>
      <c r="O64" s="14"/>
      <c r="P64" s="145">
        <f t="shared" si="21"/>
        <v>70.7</v>
      </c>
      <c r="Q64" s="146">
        <v>70.7</v>
      </c>
      <c r="R64" s="146"/>
      <c r="S64" s="172"/>
      <c r="T64" s="179"/>
      <c r="U64" s="168"/>
      <c r="V64" s="169"/>
      <c r="W64" s="190"/>
    </row>
    <row r="65" spans="1:23" ht="25.5">
      <c r="A65" s="47" t="s">
        <v>23</v>
      </c>
      <c r="B65" s="78">
        <v>30</v>
      </c>
      <c r="C65" s="75">
        <v>20</v>
      </c>
      <c r="D65" s="19">
        <f t="shared" si="19"/>
        <v>1788.6</v>
      </c>
      <c r="E65" s="10">
        <f>1786.4+737.1-734.9</f>
        <v>1788.6</v>
      </c>
      <c r="F65" s="8"/>
      <c r="G65" s="18"/>
      <c r="H65" s="19"/>
      <c r="I65" s="10"/>
      <c r="J65" s="8"/>
      <c r="K65" s="18"/>
      <c r="L65" s="39">
        <f t="shared" si="20"/>
        <v>2221.9</v>
      </c>
      <c r="M65" s="8">
        <v>2171.6</v>
      </c>
      <c r="N65" s="8">
        <v>50.3</v>
      </c>
      <c r="O65" s="14"/>
      <c r="P65" s="145">
        <f t="shared" si="21"/>
        <v>2217.1</v>
      </c>
      <c r="Q65" s="146">
        <v>2217.1</v>
      </c>
      <c r="R65" s="146"/>
      <c r="S65" s="172"/>
      <c r="T65" s="181"/>
      <c r="U65" s="168"/>
      <c r="V65" s="169"/>
      <c r="W65" s="188"/>
    </row>
    <row r="66" spans="1:23" s="12" customFormat="1" ht="15">
      <c r="A66" s="45" t="s">
        <v>28</v>
      </c>
      <c r="B66" s="70">
        <v>31</v>
      </c>
      <c r="C66" s="79"/>
      <c r="D66" s="33"/>
      <c r="E66" s="11"/>
      <c r="F66" s="11"/>
      <c r="G66" s="31"/>
      <c r="H66" s="33"/>
      <c r="I66" s="11"/>
      <c r="J66" s="11"/>
      <c r="K66" s="31"/>
      <c r="L66" s="40"/>
      <c r="M66" s="11"/>
      <c r="N66" s="11"/>
      <c r="O66" s="35"/>
      <c r="P66" s="40"/>
      <c r="Q66" s="11"/>
      <c r="R66" s="11"/>
      <c r="S66" s="35"/>
      <c r="T66" s="178"/>
      <c r="U66" s="167"/>
      <c r="V66" s="163"/>
      <c r="W66" s="187"/>
    </row>
    <row r="67" spans="1:23" s="6" customFormat="1" ht="12.75">
      <c r="A67" s="46" t="s">
        <v>8</v>
      </c>
      <c r="B67" s="77">
        <v>31</v>
      </c>
      <c r="C67" s="73" t="s">
        <v>9</v>
      </c>
      <c r="D67" s="17">
        <f>SUM(D68:D77)</f>
        <v>36014.5</v>
      </c>
      <c r="E67" s="5">
        <f>SUM(E68:E77)</f>
        <v>35992.1</v>
      </c>
      <c r="F67" s="5">
        <f>SUM(F68:F77)</f>
        <v>22.4</v>
      </c>
      <c r="G67" s="16">
        <f>SUM(G68:G77)</f>
        <v>0</v>
      </c>
      <c r="H67" s="17">
        <f aca="true" t="shared" si="22" ref="H67:O67">SUM(H68:H77)</f>
        <v>0</v>
      </c>
      <c r="I67" s="5">
        <f t="shared" si="22"/>
        <v>0</v>
      </c>
      <c r="J67" s="5">
        <f t="shared" si="22"/>
        <v>0</v>
      </c>
      <c r="K67" s="16">
        <f t="shared" si="22"/>
        <v>0</v>
      </c>
      <c r="L67" s="38">
        <f t="shared" si="22"/>
        <v>40759.700000000004</v>
      </c>
      <c r="M67" s="5">
        <f t="shared" si="22"/>
        <v>40566.4</v>
      </c>
      <c r="N67" s="5">
        <f t="shared" si="22"/>
        <v>193.29999999999998</v>
      </c>
      <c r="O67" s="13">
        <f t="shared" si="22"/>
        <v>0</v>
      </c>
      <c r="P67" s="143">
        <f>SUM(P68:P77)</f>
        <v>39806.2</v>
      </c>
      <c r="Q67" s="144">
        <f>SUM(Q68:Q77)</f>
        <v>39783.8</v>
      </c>
      <c r="R67" s="144">
        <f>SUM(R68:R77)</f>
        <v>22.4</v>
      </c>
      <c r="S67" s="171">
        <f>SUM(S68:S77)</f>
        <v>0</v>
      </c>
      <c r="T67" s="178"/>
      <c r="U67" s="167"/>
      <c r="V67" s="163"/>
      <c r="W67" s="187"/>
    </row>
    <row r="68" spans="1:23" ht="12.75">
      <c r="A68" s="47" t="s">
        <v>10</v>
      </c>
      <c r="B68" s="78">
        <v>31</v>
      </c>
      <c r="C68" s="75">
        <v>1</v>
      </c>
      <c r="D68" s="20">
        <f aca="true" t="shared" si="23" ref="D68:D77">E68+F68+G68</f>
        <v>3274.8</v>
      </c>
      <c r="E68" s="8">
        <v>3274.8</v>
      </c>
      <c r="F68" s="8"/>
      <c r="G68" s="18"/>
      <c r="H68" s="20"/>
      <c r="I68" s="8"/>
      <c r="J68" s="8"/>
      <c r="K68" s="18"/>
      <c r="L68" s="41">
        <f aca="true" t="shared" si="24" ref="L68:L77">M68+N68+O68</f>
        <v>3873.3</v>
      </c>
      <c r="M68" s="8">
        <v>3873.3</v>
      </c>
      <c r="N68" s="8"/>
      <c r="O68" s="14"/>
      <c r="P68" s="151">
        <f aca="true" t="shared" si="25" ref="P68:P77">Q68+R68+S68</f>
        <v>4161.3</v>
      </c>
      <c r="Q68" s="146">
        <v>4161.3</v>
      </c>
      <c r="R68" s="146"/>
      <c r="S68" s="172"/>
      <c r="T68" s="179"/>
      <c r="U68" s="168"/>
      <c r="V68" s="169"/>
      <c r="W68" s="190"/>
    </row>
    <row r="69" spans="1:23" ht="12.75">
      <c r="A69" s="47" t="s">
        <v>11</v>
      </c>
      <c r="B69" s="78">
        <v>31</v>
      </c>
      <c r="C69" s="75">
        <v>3</v>
      </c>
      <c r="D69" s="20">
        <f t="shared" si="23"/>
        <v>58.1</v>
      </c>
      <c r="E69" s="8">
        <v>58.1</v>
      </c>
      <c r="F69" s="8"/>
      <c r="G69" s="18"/>
      <c r="H69" s="20"/>
      <c r="I69" s="8"/>
      <c r="J69" s="8"/>
      <c r="K69" s="18"/>
      <c r="L69" s="41">
        <f t="shared" si="24"/>
        <v>41.3</v>
      </c>
      <c r="M69" s="8">
        <v>41.3</v>
      </c>
      <c r="N69" s="8"/>
      <c r="O69" s="14"/>
      <c r="P69" s="151">
        <f t="shared" si="25"/>
        <v>65.8</v>
      </c>
      <c r="Q69" s="146">
        <v>65.8</v>
      </c>
      <c r="R69" s="146"/>
      <c r="S69" s="172"/>
      <c r="T69" s="179"/>
      <c r="U69" s="168"/>
      <c r="V69" s="169"/>
      <c r="W69" s="190"/>
    </row>
    <row r="70" spans="1:23" ht="25.5">
      <c r="A70" s="47" t="s">
        <v>12</v>
      </c>
      <c r="B70" s="78">
        <v>31</v>
      </c>
      <c r="C70" s="75">
        <v>5</v>
      </c>
      <c r="D70" s="20">
        <f t="shared" si="23"/>
        <v>1367.2</v>
      </c>
      <c r="E70" s="8">
        <v>1367.2</v>
      </c>
      <c r="F70" s="8"/>
      <c r="G70" s="18"/>
      <c r="H70" s="20"/>
      <c r="I70" s="8"/>
      <c r="J70" s="8"/>
      <c r="K70" s="18"/>
      <c r="L70" s="41">
        <f t="shared" si="24"/>
        <v>1794.1</v>
      </c>
      <c r="M70" s="8">
        <v>1794.1</v>
      </c>
      <c r="N70" s="8"/>
      <c r="O70" s="14"/>
      <c r="P70" s="151">
        <f t="shared" si="25"/>
        <v>1645.1</v>
      </c>
      <c r="Q70" s="146">
        <v>1645.1</v>
      </c>
      <c r="R70" s="146"/>
      <c r="S70" s="172"/>
      <c r="T70" s="179"/>
      <c r="U70" s="168"/>
      <c r="V70" s="169"/>
      <c r="W70" s="190"/>
    </row>
    <row r="71" spans="1:23" ht="12.75">
      <c r="A71" s="47" t="s">
        <v>13</v>
      </c>
      <c r="B71" s="78">
        <v>31</v>
      </c>
      <c r="C71" s="75">
        <v>6</v>
      </c>
      <c r="D71" s="19">
        <f t="shared" si="23"/>
        <v>26814.1</v>
      </c>
      <c r="E71" s="8">
        <f>26363.6+440.6</f>
        <v>26804.199999999997</v>
      </c>
      <c r="F71" s="8">
        <v>9.9</v>
      </c>
      <c r="G71" s="18"/>
      <c r="H71" s="19"/>
      <c r="I71" s="8"/>
      <c r="J71" s="8"/>
      <c r="K71" s="18"/>
      <c r="L71" s="39">
        <f t="shared" si="24"/>
        <v>29030.2</v>
      </c>
      <c r="M71" s="8">
        <v>29017.5</v>
      </c>
      <c r="N71" s="8">
        <v>12.7</v>
      </c>
      <c r="O71" s="14"/>
      <c r="P71" s="145">
        <f t="shared" si="25"/>
        <v>28286.5</v>
      </c>
      <c r="Q71" s="146">
        <f>28286.5-9.9</f>
        <v>28276.6</v>
      </c>
      <c r="R71" s="146">
        <v>9.9</v>
      </c>
      <c r="S71" s="172"/>
      <c r="T71" s="179"/>
      <c r="U71" s="168"/>
      <c r="V71" s="169"/>
      <c r="W71" s="190"/>
    </row>
    <row r="72" spans="1:23" ht="25.5">
      <c r="A72" s="47" t="s">
        <v>14</v>
      </c>
      <c r="B72" s="78">
        <v>31</v>
      </c>
      <c r="C72" s="75">
        <v>8</v>
      </c>
      <c r="D72" s="20">
        <f t="shared" si="23"/>
        <v>1482.7</v>
      </c>
      <c r="E72" s="8">
        <f>1347.7+124.4</f>
        <v>1472.1000000000001</v>
      </c>
      <c r="F72" s="8">
        <v>10.6</v>
      </c>
      <c r="G72" s="18"/>
      <c r="H72" s="20"/>
      <c r="I72" s="8"/>
      <c r="J72" s="8"/>
      <c r="K72" s="18"/>
      <c r="L72" s="41">
        <f t="shared" si="24"/>
        <v>2089.4</v>
      </c>
      <c r="M72" s="8">
        <v>2088.9</v>
      </c>
      <c r="N72" s="8">
        <v>0.5</v>
      </c>
      <c r="O72" s="14"/>
      <c r="P72" s="151">
        <f t="shared" si="25"/>
        <v>1754.9</v>
      </c>
      <c r="Q72" s="146">
        <f>1754.9-10.6</f>
        <v>1744.3000000000002</v>
      </c>
      <c r="R72" s="146">
        <v>10.6</v>
      </c>
      <c r="S72" s="172"/>
      <c r="T72" s="179"/>
      <c r="U72" s="168"/>
      <c r="V72" s="169"/>
      <c r="W72" s="190"/>
    </row>
    <row r="73" spans="1:23" ht="12.75">
      <c r="A73" s="47" t="s">
        <v>16</v>
      </c>
      <c r="B73" s="78">
        <v>31</v>
      </c>
      <c r="C73" s="75">
        <v>10</v>
      </c>
      <c r="D73" s="20">
        <f t="shared" si="23"/>
        <v>1825.5000000000002</v>
      </c>
      <c r="E73" s="8">
        <f>1533.4+290.2</f>
        <v>1823.6000000000001</v>
      </c>
      <c r="F73" s="8">
        <v>1.9</v>
      </c>
      <c r="G73" s="18"/>
      <c r="H73" s="20"/>
      <c r="I73" s="8"/>
      <c r="J73" s="8"/>
      <c r="K73" s="18"/>
      <c r="L73" s="41">
        <f t="shared" si="24"/>
        <v>2403.1</v>
      </c>
      <c r="M73" s="8">
        <v>2403.1</v>
      </c>
      <c r="N73" s="8"/>
      <c r="O73" s="14"/>
      <c r="P73" s="151">
        <f t="shared" si="25"/>
        <v>2557.9</v>
      </c>
      <c r="Q73" s="146">
        <f>2187.4+368.6</f>
        <v>2556</v>
      </c>
      <c r="R73" s="146">
        <v>1.9</v>
      </c>
      <c r="S73" s="172"/>
      <c r="T73" s="179"/>
      <c r="U73" s="168"/>
      <c r="V73" s="169"/>
      <c r="W73" s="190"/>
    </row>
    <row r="74" spans="1:23" ht="25.5">
      <c r="A74" s="47" t="s">
        <v>17</v>
      </c>
      <c r="B74" s="78">
        <v>31</v>
      </c>
      <c r="C74" s="75">
        <v>11</v>
      </c>
      <c r="D74" s="20">
        <f t="shared" si="23"/>
        <v>270.5</v>
      </c>
      <c r="E74" s="8">
        <v>270.5</v>
      </c>
      <c r="F74" s="8"/>
      <c r="G74" s="18"/>
      <c r="H74" s="20"/>
      <c r="I74" s="8"/>
      <c r="J74" s="8"/>
      <c r="K74" s="18"/>
      <c r="L74" s="41">
        <f t="shared" si="24"/>
        <v>327.4</v>
      </c>
      <c r="M74" s="8">
        <v>327.4</v>
      </c>
      <c r="N74" s="8"/>
      <c r="O74" s="14"/>
      <c r="P74" s="151">
        <f t="shared" si="25"/>
        <v>348.9</v>
      </c>
      <c r="Q74" s="146">
        <v>348.9</v>
      </c>
      <c r="R74" s="146"/>
      <c r="S74" s="172"/>
      <c r="T74" s="179"/>
      <c r="U74" s="168"/>
      <c r="V74" s="169"/>
      <c r="W74" s="190"/>
    </row>
    <row r="75" spans="1:23" ht="12.75">
      <c r="A75" s="47" t="s">
        <v>19</v>
      </c>
      <c r="B75" s="78">
        <v>31</v>
      </c>
      <c r="C75" s="75">
        <v>13</v>
      </c>
      <c r="D75" s="20">
        <f t="shared" si="23"/>
        <v>83.4</v>
      </c>
      <c r="E75" s="8">
        <v>83.4</v>
      </c>
      <c r="F75" s="8"/>
      <c r="G75" s="18"/>
      <c r="H75" s="20"/>
      <c r="I75" s="8"/>
      <c r="J75" s="8"/>
      <c r="K75" s="18"/>
      <c r="L75" s="41">
        <f t="shared" si="24"/>
        <v>130.5</v>
      </c>
      <c r="M75" s="8">
        <v>130.5</v>
      </c>
      <c r="N75" s="8"/>
      <c r="O75" s="14"/>
      <c r="P75" s="151">
        <f t="shared" si="25"/>
        <v>111.4</v>
      </c>
      <c r="Q75" s="146">
        <v>111.4</v>
      </c>
      <c r="R75" s="146"/>
      <c r="S75" s="172"/>
      <c r="T75" s="179"/>
      <c r="U75" s="168"/>
      <c r="V75" s="169"/>
      <c r="W75" s="190"/>
    </row>
    <row r="76" spans="1:23" ht="25.5">
      <c r="A76" s="47" t="s">
        <v>22</v>
      </c>
      <c r="B76" s="78">
        <v>31</v>
      </c>
      <c r="C76" s="75">
        <v>19</v>
      </c>
      <c r="D76" s="20">
        <f t="shared" si="23"/>
        <v>53.9</v>
      </c>
      <c r="E76" s="8">
        <v>53.9</v>
      </c>
      <c r="F76" s="8"/>
      <c r="G76" s="18"/>
      <c r="H76" s="20"/>
      <c r="I76" s="8"/>
      <c r="J76" s="8"/>
      <c r="K76" s="18"/>
      <c r="L76" s="41">
        <f t="shared" si="24"/>
        <v>82.9</v>
      </c>
      <c r="M76" s="8">
        <v>82.9</v>
      </c>
      <c r="N76" s="8"/>
      <c r="O76" s="14"/>
      <c r="P76" s="151">
        <f t="shared" si="25"/>
        <v>70.7</v>
      </c>
      <c r="Q76" s="146">
        <v>70.7</v>
      </c>
      <c r="R76" s="146"/>
      <c r="S76" s="172"/>
      <c r="T76" s="179"/>
      <c r="U76" s="168"/>
      <c r="V76" s="169"/>
      <c r="W76" s="190"/>
    </row>
    <row r="77" spans="1:23" ht="25.5">
      <c r="A77" s="47" t="s">
        <v>23</v>
      </c>
      <c r="B77" s="78">
        <v>31</v>
      </c>
      <c r="C77" s="75">
        <v>20</v>
      </c>
      <c r="D77" s="20">
        <f t="shared" si="23"/>
        <v>784.3</v>
      </c>
      <c r="E77" s="10">
        <f>647.6+267.2-130.5</f>
        <v>784.3</v>
      </c>
      <c r="F77" s="8"/>
      <c r="G77" s="18"/>
      <c r="H77" s="20"/>
      <c r="I77" s="10"/>
      <c r="J77" s="8"/>
      <c r="K77" s="18"/>
      <c r="L77" s="41">
        <f t="shared" si="24"/>
        <v>987.5</v>
      </c>
      <c r="M77" s="8">
        <v>807.4</v>
      </c>
      <c r="N77" s="8">
        <v>180.1</v>
      </c>
      <c r="O77" s="14"/>
      <c r="P77" s="151">
        <f t="shared" si="25"/>
        <v>803.7</v>
      </c>
      <c r="Q77" s="146">
        <v>803.7</v>
      </c>
      <c r="R77" s="146"/>
      <c r="S77" s="172"/>
      <c r="T77" s="181"/>
      <c r="U77" s="168"/>
      <c r="V77" s="169"/>
      <c r="W77" s="188"/>
    </row>
    <row r="78" spans="1:23" s="12" customFormat="1" ht="15">
      <c r="A78" s="45" t="s">
        <v>29</v>
      </c>
      <c r="B78" s="70">
        <v>32</v>
      </c>
      <c r="C78" s="79"/>
      <c r="D78" s="33"/>
      <c r="E78" s="11"/>
      <c r="F78" s="11"/>
      <c r="G78" s="31"/>
      <c r="H78" s="33"/>
      <c r="I78" s="11"/>
      <c r="J78" s="11"/>
      <c r="K78" s="31"/>
      <c r="L78" s="40"/>
      <c r="M78" s="11"/>
      <c r="N78" s="11"/>
      <c r="O78" s="35"/>
      <c r="P78" s="40"/>
      <c r="Q78" s="11"/>
      <c r="R78" s="11"/>
      <c r="S78" s="35"/>
      <c r="T78" s="178"/>
      <c r="U78" s="167"/>
      <c r="V78" s="163"/>
      <c r="W78" s="187"/>
    </row>
    <row r="79" spans="1:23" s="6" customFormat="1" ht="12.75">
      <c r="A79" s="46" t="s">
        <v>8</v>
      </c>
      <c r="B79" s="77">
        <v>32</v>
      </c>
      <c r="C79" s="73" t="s">
        <v>9</v>
      </c>
      <c r="D79" s="17">
        <f>SUM(D80:D90)</f>
        <v>93863.5</v>
      </c>
      <c r="E79" s="5">
        <f>SUM(E80:E90)</f>
        <v>93647.8</v>
      </c>
      <c r="F79" s="5">
        <f>SUM(F80:F90)</f>
        <v>215.7</v>
      </c>
      <c r="G79" s="16">
        <f>SUM(G80:G90)</f>
        <v>0</v>
      </c>
      <c r="H79" s="17">
        <f aca="true" t="shared" si="26" ref="H79:O79">SUM(H80:H90)</f>
        <v>0</v>
      </c>
      <c r="I79" s="5">
        <f t="shared" si="26"/>
        <v>0</v>
      </c>
      <c r="J79" s="5">
        <f t="shared" si="26"/>
        <v>0</v>
      </c>
      <c r="K79" s="16">
        <f t="shared" si="26"/>
        <v>0</v>
      </c>
      <c r="L79" s="38">
        <f t="shared" si="26"/>
        <v>106020.9</v>
      </c>
      <c r="M79" s="5">
        <f t="shared" si="26"/>
        <v>105912.59999999999</v>
      </c>
      <c r="N79" s="5">
        <f t="shared" si="26"/>
        <v>108.3</v>
      </c>
      <c r="O79" s="13">
        <f t="shared" si="26"/>
        <v>0</v>
      </c>
      <c r="P79" s="143">
        <f>SUM(P80:P90)</f>
        <v>100314.90000000001</v>
      </c>
      <c r="Q79" s="144">
        <f>SUM(Q80:Q90)</f>
        <v>100099.19999999998</v>
      </c>
      <c r="R79" s="144">
        <f>SUM(R80:R90)</f>
        <v>215.7</v>
      </c>
      <c r="S79" s="171">
        <f>SUM(S80:S90)</f>
        <v>0</v>
      </c>
      <c r="T79" s="178"/>
      <c r="U79" s="167"/>
      <c r="V79" s="163"/>
      <c r="W79" s="187"/>
    </row>
    <row r="80" spans="1:23" ht="12.75">
      <c r="A80" s="47" t="s">
        <v>10</v>
      </c>
      <c r="B80" s="78">
        <v>32</v>
      </c>
      <c r="C80" s="75">
        <v>1</v>
      </c>
      <c r="D80" s="20">
        <f aca="true" t="shared" si="27" ref="D80:D90">E80+F80+G80</f>
        <v>8311.3</v>
      </c>
      <c r="E80" s="8">
        <v>8311.3</v>
      </c>
      <c r="F80" s="8"/>
      <c r="G80" s="18"/>
      <c r="H80" s="20"/>
      <c r="I80" s="8"/>
      <c r="J80" s="8"/>
      <c r="K80" s="18"/>
      <c r="L80" s="41">
        <f aca="true" t="shared" si="28" ref="L80:L90">M80+N80+O80</f>
        <v>9637.4</v>
      </c>
      <c r="M80" s="8">
        <v>9637.4</v>
      </c>
      <c r="N80" s="8"/>
      <c r="O80" s="14"/>
      <c r="P80" s="151">
        <f aca="true" t="shared" si="29" ref="P80:P90">Q80+R80+S80</f>
        <v>10297.9</v>
      </c>
      <c r="Q80" s="146">
        <v>10297.9</v>
      </c>
      <c r="R80" s="146"/>
      <c r="S80" s="172"/>
      <c r="T80" s="179"/>
      <c r="U80" s="168"/>
      <c r="V80" s="169"/>
      <c r="W80" s="190"/>
    </row>
    <row r="81" spans="1:23" ht="12.75">
      <c r="A81" s="47" t="s">
        <v>11</v>
      </c>
      <c r="B81" s="78">
        <v>32</v>
      </c>
      <c r="C81" s="75">
        <v>3</v>
      </c>
      <c r="D81" s="20">
        <f t="shared" si="27"/>
        <v>15.2</v>
      </c>
      <c r="E81" s="8">
        <v>15.2</v>
      </c>
      <c r="F81" s="8"/>
      <c r="G81" s="18"/>
      <c r="H81" s="20"/>
      <c r="I81" s="8"/>
      <c r="J81" s="8"/>
      <c r="K81" s="18"/>
      <c r="L81" s="41">
        <f t="shared" si="28"/>
        <v>43.7</v>
      </c>
      <c r="M81" s="8">
        <v>43.7</v>
      </c>
      <c r="N81" s="8"/>
      <c r="O81" s="14"/>
      <c r="P81" s="151">
        <f t="shared" si="29"/>
        <v>18.7</v>
      </c>
      <c r="Q81" s="146">
        <v>18.7</v>
      </c>
      <c r="R81" s="146"/>
      <c r="S81" s="172"/>
      <c r="T81" s="179"/>
      <c r="U81" s="168"/>
      <c r="V81" s="169"/>
      <c r="W81" s="190"/>
    </row>
    <row r="82" spans="1:23" ht="25.5">
      <c r="A82" s="47" t="s">
        <v>12</v>
      </c>
      <c r="B82" s="78">
        <v>32</v>
      </c>
      <c r="C82" s="75">
        <v>5</v>
      </c>
      <c r="D82" s="20">
        <f t="shared" si="27"/>
        <v>3181</v>
      </c>
      <c r="E82" s="8">
        <v>3181</v>
      </c>
      <c r="F82" s="8"/>
      <c r="G82" s="18"/>
      <c r="H82" s="20"/>
      <c r="I82" s="8"/>
      <c r="J82" s="8"/>
      <c r="K82" s="18"/>
      <c r="L82" s="41">
        <f t="shared" si="28"/>
        <v>3796.4</v>
      </c>
      <c r="M82" s="8">
        <v>3796.4</v>
      </c>
      <c r="N82" s="8"/>
      <c r="O82" s="14"/>
      <c r="P82" s="151">
        <f t="shared" si="29"/>
        <v>3777.9</v>
      </c>
      <c r="Q82" s="146">
        <v>3777.9</v>
      </c>
      <c r="R82" s="146"/>
      <c r="S82" s="172"/>
      <c r="T82" s="179"/>
      <c r="U82" s="168"/>
      <c r="V82" s="169"/>
      <c r="W82" s="190"/>
    </row>
    <row r="83" spans="1:23" ht="12.75">
      <c r="A83" s="47" t="s">
        <v>13</v>
      </c>
      <c r="B83" s="78">
        <v>32</v>
      </c>
      <c r="C83" s="75">
        <v>6</v>
      </c>
      <c r="D83" s="19">
        <f t="shared" si="27"/>
        <v>72823.90000000001</v>
      </c>
      <c r="E83" s="8">
        <f>72169.5+560.8</f>
        <v>72730.3</v>
      </c>
      <c r="F83" s="8">
        <v>93.6</v>
      </c>
      <c r="G83" s="18"/>
      <c r="H83" s="19"/>
      <c r="I83" s="8"/>
      <c r="J83" s="8"/>
      <c r="K83" s="18"/>
      <c r="L83" s="39">
        <f t="shared" si="28"/>
        <v>79888.1</v>
      </c>
      <c r="M83" s="8">
        <v>79812.6</v>
      </c>
      <c r="N83" s="8">
        <v>75.5</v>
      </c>
      <c r="O83" s="14"/>
      <c r="P83" s="145">
        <f t="shared" si="29"/>
        <v>76218.6</v>
      </c>
      <c r="Q83" s="146">
        <f>76218.6-93.6</f>
        <v>76125</v>
      </c>
      <c r="R83" s="146">
        <v>93.6</v>
      </c>
      <c r="S83" s="172"/>
      <c r="T83" s="179"/>
      <c r="U83" s="168"/>
      <c r="V83" s="169"/>
      <c r="W83" s="190"/>
    </row>
    <row r="84" spans="1:23" ht="25.5">
      <c r="A84" s="47" t="s">
        <v>14</v>
      </c>
      <c r="B84" s="78">
        <v>32</v>
      </c>
      <c r="C84" s="75">
        <v>8</v>
      </c>
      <c r="D84" s="20">
        <f t="shared" si="27"/>
        <v>3949</v>
      </c>
      <c r="E84" s="8">
        <f>3789.7+124.4</f>
        <v>3914.1</v>
      </c>
      <c r="F84" s="8">
        <v>34.9</v>
      </c>
      <c r="G84" s="18"/>
      <c r="H84" s="20"/>
      <c r="I84" s="8"/>
      <c r="J84" s="8"/>
      <c r="K84" s="18"/>
      <c r="L84" s="41">
        <f t="shared" si="28"/>
        <v>6275.5</v>
      </c>
      <c r="M84" s="8">
        <v>6242.7</v>
      </c>
      <c r="N84" s="8">
        <v>32.8</v>
      </c>
      <c r="O84" s="14"/>
      <c r="P84" s="151">
        <f t="shared" si="29"/>
        <v>4601.8</v>
      </c>
      <c r="Q84" s="146">
        <f>4601.8-34.9</f>
        <v>4566.900000000001</v>
      </c>
      <c r="R84" s="146">
        <v>34.9</v>
      </c>
      <c r="S84" s="172"/>
      <c r="T84" s="179"/>
      <c r="U84" s="168"/>
      <c r="V84" s="169"/>
      <c r="W84" s="190"/>
    </row>
    <row r="85" spans="1:23" ht="12.75">
      <c r="A85" s="47" t="s">
        <v>16</v>
      </c>
      <c r="B85" s="78">
        <v>32</v>
      </c>
      <c r="C85" s="75">
        <v>10</v>
      </c>
      <c r="D85" s="20">
        <f t="shared" si="27"/>
        <v>2863.2999999999997</v>
      </c>
      <c r="E85" s="8">
        <f>2420.6+331.6+23.9</f>
        <v>2776.1</v>
      </c>
      <c r="F85" s="8">
        <v>87.2</v>
      </c>
      <c r="G85" s="18"/>
      <c r="H85" s="20"/>
      <c r="I85" s="8"/>
      <c r="J85" s="8"/>
      <c r="K85" s="18"/>
      <c r="L85" s="41">
        <f t="shared" si="28"/>
        <v>3377.3</v>
      </c>
      <c r="M85" s="8">
        <v>3377.3</v>
      </c>
      <c r="N85" s="8"/>
      <c r="O85" s="14"/>
      <c r="P85" s="151">
        <f t="shared" si="29"/>
        <v>3300.1</v>
      </c>
      <c r="Q85" s="146">
        <f>2791.6+421.3</f>
        <v>3212.9</v>
      </c>
      <c r="R85" s="146">
        <v>87.2</v>
      </c>
      <c r="S85" s="172"/>
      <c r="T85" s="179"/>
      <c r="U85" s="168"/>
      <c r="V85" s="169"/>
      <c r="W85" s="190"/>
    </row>
    <row r="86" spans="1:23" ht="25.5">
      <c r="A86" s="47" t="s">
        <v>17</v>
      </c>
      <c r="B86" s="78">
        <v>32</v>
      </c>
      <c r="C86" s="75">
        <v>11</v>
      </c>
      <c r="D86" s="20">
        <f t="shared" si="27"/>
        <v>231.9</v>
      </c>
      <c r="E86" s="8">
        <v>231.9</v>
      </c>
      <c r="F86" s="8"/>
      <c r="G86" s="18"/>
      <c r="H86" s="20"/>
      <c r="I86" s="8"/>
      <c r="J86" s="8"/>
      <c r="K86" s="18"/>
      <c r="L86" s="41">
        <f t="shared" si="28"/>
        <v>297</v>
      </c>
      <c r="M86" s="8">
        <v>297</v>
      </c>
      <c r="N86" s="8"/>
      <c r="O86" s="14"/>
      <c r="P86" s="151">
        <f t="shared" si="29"/>
        <v>299.1</v>
      </c>
      <c r="Q86" s="146">
        <v>299.1</v>
      </c>
      <c r="R86" s="146"/>
      <c r="S86" s="172"/>
      <c r="T86" s="179"/>
      <c r="U86" s="168"/>
      <c r="V86" s="169"/>
      <c r="W86" s="190"/>
    </row>
    <row r="87" spans="1:23" ht="12.75">
      <c r="A87" s="47" t="s">
        <v>19</v>
      </c>
      <c r="B87" s="78">
        <v>32</v>
      </c>
      <c r="C87" s="75">
        <v>13</v>
      </c>
      <c r="D87" s="20">
        <f t="shared" si="27"/>
        <v>133.4</v>
      </c>
      <c r="E87" s="8">
        <v>133.4</v>
      </c>
      <c r="F87" s="8"/>
      <c r="G87" s="18"/>
      <c r="H87" s="20"/>
      <c r="I87" s="8"/>
      <c r="J87" s="8"/>
      <c r="K87" s="18"/>
      <c r="L87" s="41">
        <f t="shared" si="28"/>
        <v>141.7</v>
      </c>
      <c r="M87" s="8">
        <v>141.7</v>
      </c>
      <c r="N87" s="8"/>
      <c r="O87" s="14"/>
      <c r="P87" s="151">
        <f t="shared" si="29"/>
        <v>178.2</v>
      </c>
      <c r="Q87" s="146">
        <v>178.2</v>
      </c>
      <c r="R87" s="146"/>
      <c r="S87" s="172"/>
      <c r="T87" s="179"/>
      <c r="U87" s="168"/>
      <c r="V87" s="169"/>
      <c r="W87" s="190"/>
    </row>
    <row r="88" spans="1:23" ht="25.5">
      <c r="A88" s="47" t="s">
        <v>27</v>
      </c>
      <c r="B88" s="78">
        <v>32</v>
      </c>
      <c r="C88" s="75">
        <v>15</v>
      </c>
      <c r="D88" s="20">
        <f t="shared" si="27"/>
        <v>0</v>
      </c>
      <c r="E88" s="8"/>
      <c r="F88" s="8"/>
      <c r="G88" s="18"/>
      <c r="H88" s="20"/>
      <c r="I88" s="8"/>
      <c r="J88" s="8"/>
      <c r="K88" s="18"/>
      <c r="L88" s="41">
        <f t="shared" si="28"/>
        <v>0</v>
      </c>
      <c r="M88" s="8"/>
      <c r="N88" s="8"/>
      <c r="O88" s="14"/>
      <c r="P88" s="151">
        <f t="shared" si="29"/>
        <v>0</v>
      </c>
      <c r="Q88" s="146"/>
      <c r="R88" s="146"/>
      <c r="S88" s="172"/>
      <c r="T88" s="179"/>
      <c r="U88" s="168"/>
      <c r="V88" s="169"/>
      <c r="W88" s="190"/>
    </row>
    <row r="89" spans="1:23" ht="25.5">
      <c r="A89" s="47" t="s">
        <v>22</v>
      </c>
      <c r="B89" s="78">
        <v>32</v>
      </c>
      <c r="C89" s="75">
        <v>19</v>
      </c>
      <c r="D89" s="20">
        <f t="shared" si="27"/>
        <v>53.9</v>
      </c>
      <c r="E89" s="8">
        <v>53.9</v>
      </c>
      <c r="F89" s="8"/>
      <c r="G89" s="18"/>
      <c r="H89" s="20"/>
      <c r="I89" s="8"/>
      <c r="J89" s="8"/>
      <c r="K89" s="18"/>
      <c r="L89" s="41">
        <f t="shared" si="28"/>
        <v>61.9</v>
      </c>
      <c r="M89" s="8">
        <v>61.9</v>
      </c>
      <c r="N89" s="8"/>
      <c r="O89" s="14"/>
      <c r="P89" s="151">
        <f t="shared" si="29"/>
        <v>70.7</v>
      </c>
      <c r="Q89" s="146">
        <v>70.7</v>
      </c>
      <c r="R89" s="146"/>
      <c r="S89" s="172"/>
      <c r="T89" s="179"/>
      <c r="U89" s="168"/>
      <c r="V89" s="169"/>
      <c r="W89" s="190"/>
    </row>
    <row r="90" spans="1:23" ht="25.5">
      <c r="A90" s="47" t="s">
        <v>23</v>
      </c>
      <c r="B90" s="78">
        <v>32</v>
      </c>
      <c r="C90" s="75">
        <v>20</v>
      </c>
      <c r="D90" s="20">
        <f t="shared" si="27"/>
        <v>2300.6</v>
      </c>
      <c r="E90" s="10">
        <f>1250.5+516+534.1</f>
        <v>2300.6</v>
      </c>
      <c r="F90" s="8"/>
      <c r="G90" s="18"/>
      <c r="H90" s="20"/>
      <c r="I90" s="10"/>
      <c r="J90" s="8"/>
      <c r="K90" s="18"/>
      <c r="L90" s="41">
        <f t="shared" si="28"/>
        <v>2501.9</v>
      </c>
      <c r="M90" s="8">
        <v>2501.9</v>
      </c>
      <c r="N90" s="8"/>
      <c r="O90" s="14"/>
      <c r="P90" s="151">
        <f t="shared" si="29"/>
        <v>1551.9</v>
      </c>
      <c r="Q90" s="146">
        <v>1551.9</v>
      </c>
      <c r="R90" s="146"/>
      <c r="S90" s="172"/>
      <c r="T90" s="181"/>
      <c r="U90" s="168"/>
      <c r="V90" s="169"/>
      <c r="W90" s="188"/>
    </row>
    <row r="91" spans="1:23" s="12" customFormat="1" ht="15">
      <c r="A91" s="45" t="s">
        <v>30</v>
      </c>
      <c r="B91" s="70">
        <v>34</v>
      </c>
      <c r="C91" s="79"/>
      <c r="D91" s="33"/>
      <c r="E91" s="11"/>
      <c r="F91" s="11"/>
      <c r="G91" s="31"/>
      <c r="H91" s="33"/>
      <c r="I91" s="11"/>
      <c r="J91" s="11"/>
      <c r="K91" s="31"/>
      <c r="L91" s="40"/>
      <c r="M91" s="11"/>
      <c r="N91" s="11"/>
      <c r="O91" s="35"/>
      <c r="P91" s="40"/>
      <c r="Q91" s="11"/>
      <c r="R91" s="11"/>
      <c r="S91" s="35"/>
      <c r="T91" s="178"/>
      <c r="U91" s="167"/>
      <c r="V91" s="163"/>
      <c r="W91" s="187"/>
    </row>
    <row r="92" spans="1:23" s="6" customFormat="1" ht="12.75">
      <c r="A92" s="46" t="s">
        <v>8</v>
      </c>
      <c r="B92" s="77">
        <v>34</v>
      </c>
      <c r="C92" s="73" t="s">
        <v>9</v>
      </c>
      <c r="D92" s="17">
        <f>SUM(D93:D103)</f>
        <v>158534.49999999997</v>
      </c>
      <c r="E92" s="5">
        <f>SUM(E93:E103)</f>
        <v>157908.79999999996</v>
      </c>
      <c r="F92" s="5">
        <f>SUM(F93:F103)</f>
        <v>625.7</v>
      </c>
      <c r="G92" s="16">
        <f>SUM(G93:G103)</f>
        <v>0</v>
      </c>
      <c r="H92" s="17">
        <f aca="true" t="shared" si="30" ref="H92:O92">SUM(H93:H103)</f>
        <v>0</v>
      </c>
      <c r="I92" s="5">
        <f t="shared" si="30"/>
        <v>0</v>
      </c>
      <c r="J92" s="5">
        <f t="shared" si="30"/>
        <v>0</v>
      </c>
      <c r="K92" s="16">
        <f t="shared" si="30"/>
        <v>0</v>
      </c>
      <c r="L92" s="38">
        <f t="shared" si="30"/>
        <v>181812.39999999994</v>
      </c>
      <c r="M92" s="5">
        <f t="shared" si="30"/>
        <v>180833.19999999995</v>
      </c>
      <c r="N92" s="5">
        <f t="shared" si="30"/>
        <v>979.2</v>
      </c>
      <c r="O92" s="13">
        <f t="shared" si="30"/>
        <v>0</v>
      </c>
      <c r="P92" s="143">
        <f>SUM(P93:P103)</f>
        <v>170229.90000000002</v>
      </c>
      <c r="Q92" s="144">
        <f>SUM(Q93:Q103)</f>
        <v>169604.2</v>
      </c>
      <c r="R92" s="144">
        <f>SUM(R93:R103)</f>
        <v>625.7</v>
      </c>
      <c r="S92" s="171">
        <f>SUM(S93:S103)</f>
        <v>0</v>
      </c>
      <c r="T92" s="178"/>
      <c r="U92" s="167"/>
      <c r="V92" s="163"/>
      <c r="W92" s="187"/>
    </row>
    <row r="93" spans="1:23" ht="12.75">
      <c r="A93" s="47" t="s">
        <v>10</v>
      </c>
      <c r="B93" s="78">
        <v>34</v>
      </c>
      <c r="C93" s="75">
        <v>1</v>
      </c>
      <c r="D93" s="20">
        <f aca="true" t="shared" si="31" ref="D93:D103">E93+F93+G93</f>
        <v>10821.300000000001</v>
      </c>
      <c r="E93" s="8">
        <v>10715.6</v>
      </c>
      <c r="F93" s="8">
        <v>105.7</v>
      </c>
      <c r="G93" s="18"/>
      <c r="H93" s="20"/>
      <c r="I93" s="8"/>
      <c r="J93" s="8"/>
      <c r="K93" s="18"/>
      <c r="L93" s="41">
        <f aca="true" t="shared" si="32" ref="L93:L103">M93+N93+O93</f>
        <v>13018.1</v>
      </c>
      <c r="M93" s="8">
        <v>13000.1</v>
      </c>
      <c r="N93" s="8">
        <v>18</v>
      </c>
      <c r="O93" s="14"/>
      <c r="P93" s="151">
        <f aca="true" t="shared" si="33" ref="P93:P103">Q93+R93+S93</f>
        <v>13774.800000000001</v>
      </c>
      <c r="Q93" s="146">
        <v>13669.1</v>
      </c>
      <c r="R93" s="146">
        <v>105.7</v>
      </c>
      <c r="S93" s="172"/>
      <c r="T93" s="179"/>
      <c r="U93" s="168"/>
      <c r="V93" s="169"/>
      <c r="W93" s="190"/>
    </row>
    <row r="94" spans="1:23" ht="12.75">
      <c r="A94" s="47" t="s">
        <v>11</v>
      </c>
      <c r="B94" s="78">
        <v>34</v>
      </c>
      <c r="C94" s="75">
        <v>3</v>
      </c>
      <c r="D94" s="20">
        <f t="shared" si="31"/>
        <v>65.8</v>
      </c>
      <c r="E94" s="8">
        <v>65.8</v>
      </c>
      <c r="F94" s="8"/>
      <c r="G94" s="18"/>
      <c r="H94" s="20"/>
      <c r="I94" s="8"/>
      <c r="J94" s="8"/>
      <c r="K94" s="18"/>
      <c r="L94" s="41">
        <f t="shared" si="32"/>
        <v>86.9</v>
      </c>
      <c r="M94" s="8">
        <v>86.9</v>
      </c>
      <c r="N94" s="8"/>
      <c r="O94" s="14"/>
      <c r="P94" s="151">
        <f t="shared" si="33"/>
        <v>74.5</v>
      </c>
      <c r="Q94" s="146">
        <v>74.5</v>
      </c>
      <c r="R94" s="146"/>
      <c r="S94" s="172"/>
      <c r="T94" s="179"/>
      <c r="U94" s="168"/>
      <c r="V94" s="169"/>
      <c r="W94" s="190"/>
    </row>
    <row r="95" spans="1:23" ht="25.5">
      <c r="A95" s="47" t="s">
        <v>12</v>
      </c>
      <c r="B95" s="78">
        <v>34</v>
      </c>
      <c r="C95" s="75">
        <v>5</v>
      </c>
      <c r="D95" s="20">
        <f t="shared" si="31"/>
        <v>4030.9</v>
      </c>
      <c r="E95" s="8">
        <v>4030.9</v>
      </c>
      <c r="F95" s="8"/>
      <c r="G95" s="18"/>
      <c r="H95" s="20"/>
      <c r="I95" s="8"/>
      <c r="J95" s="8"/>
      <c r="K95" s="18"/>
      <c r="L95" s="41">
        <f t="shared" si="32"/>
        <v>4897.3</v>
      </c>
      <c r="M95" s="8">
        <v>4897.3</v>
      </c>
      <c r="N95" s="8"/>
      <c r="O95" s="14"/>
      <c r="P95" s="151">
        <f t="shared" si="33"/>
        <v>4854.8</v>
      </c>
      <c r="Q95" s="146">
        <v>4854.8</v>
      </c>
      <c r="R95" s="146"/>
      <c r="S95" s="172"/>
      <c r="T95" s="179"/>
      <c r="U95" s="168"/>
      <c r="V95" s="169"/>
      <c r="W95" s="190"/>
    </row>
    <row r="96" spans="1:23" ht="12.75">
      <c r="A96" s="47" t="s">
        <v>13</v>
      </c>
      <c r="B96" s="78">
        <v>34</v>
      </c>
      <c r="C96" s="75">
        <v>6</v>
      </c>
      <c r="D96" s="19">
        <f t="shared" si="31"/>
        <v>128559.5</v>
      </c>
      <c r="E96" s="8">
        <f>127521.7+560.8</f>
        <v>128082.5</v>
      </c>
      <c r="F96" s="8">
        <v>477</v>
      </c>
      <c r="G96" s="18"/>
      <c r="H96" s="19"/>
      <c r="I96" s="8"/>
      <c r="J96" s="8"/>
      <c r="K96" s="18"/>
      <c r="L96" s="39">
        <f t="shared" si="32"/>
        <v>144432.19999999998</v>
      </c>
      <c r="M96" s="8">
        <v>143730.4</v>
      </c>
      <c r="N96" s="8">
        <v>701.8</v>
      </c>
      <c r="O96" s="14"/>
      <c r="P96" s="145">
        <f t="shared" si="33"/>
        <v>134558.7</v>
      </c>
      <c r="Q96" s="146">
        <f>134558.7-477</f>
        <v>134081.7</v>
      </c>
      <c r="R96" s="146">
        <v>477</v>
      </c>
      <c r="S96" s="172"/>
      <c r="T96" s="179"/>
      <c r="U96" s="168"/>
      <c r="V96" s="169"/>
      <c r="W96" s="190"/>
    </row>
    <row r="97" spans="1:23" ht="25.5">
      <c r="A97" s="47" t="s">
        <v>14</v>
      </c>
      <c r="B97" s="78">
        <v>34</v>
      </c>
      <c r="C97" s="75">
        <v>8</v>
      </c>
      <c r="D97" s="20">
        <f t="shared" si="31"/>
        <v>6376.9</v>
      </c>
      <c r="E97" s="8">
        <f>6209.5+124.4</f>
        <v>6333.9</v>
      </c>
      <c r="F97" s="8">
        <v>43</v>
      </c>
      <c r="G97" s="18"/>
      <c r="H97" s="20"/>
      <c r="I97" s="8"/>
      <c r="J97" s="8"/>
      <c r="K97" s="18"/>
      <c r="L97" s="41">
        <f t="shared" si="32"/>
        <v>9666.9</v>
      </c>
      <c r="M97" s="8">
        <v>9614.3</v>
      </c>
      <c r="N97" s="8">
        <v>52.6</v>
      </c>
      <c r="O97" s="14"/>
      <c r="P97" s="151">
        <f t="shared" si="33"/>
        <v>7628.2</v>
      </c>
      <c r="Q97" s="146">
        <f>7628.2-43</f>
        <v>7585.2</v>
      </c>
      <c r="R97" s="146">
        <v>43</v>
      </c>
      <c r="S97" s="172"/>
      <c r="T97" s="179"/>
      <c r="U97" s="168"/>
      <c r="V97" s="169"/>
      <c r="W97" s="190"/>
    </row>
    <row r="98" spans="1:23" ht="12.75">
      <c r="A98" s="47" t="s">
        <v>16</v>
      </c>
      <c r="B98" s="78">
        <v>34</v>
      </c>
      <c r="C98" s="75">
        <v>10</v>
      </c>
      <c r="D98" s="20">
        <f t="shared" si="31"/>
        <v>5210.8</v>
      </c>
      <c r="E98" s="8">
        <f>4796.3+414.5</f>
        <v>5210.8</v>
      </c>
      <c r="F98" s="8"/>
      <c r="G98" s="18"/>
      <c r="H98" s="20"/>
      <c r="I98" s="8"/>
      <c r="J98" s="8"/>
      <c r="K98" s="18"/>
      <c r="L98" s="41">
        <f t="shared" si="32"/>
        <v>6244.8</v>
      </c>
      <c r="M98" s="8">
        <v>6244.8</v>
      </c>
      <c r="N98" s="8"/>
      <c r="O98" s="14"/>
      <c r="P98" s="151">
        <f t="shared" si="33"/>
        <v>6103.3</v>
      </c>
      <c r="Q98" s="146">
        <f>5576.7+526.6</f>
        <v>6103.3</v>
      </c>
      <c r="R98" s="146"/>
      <c r="S98" s="172"/>
      <c r="T98" s="179"/>
      <c r="U98" s="168"/>
      <c r="V98" s="169"/>
      <c r="W98" s="190"/>
    </row>
    <row r="99" spans="1:23" ht="25.5">
      <c r="A99" s="47" t="s">
        <v>17</v>
      </c>
      <c r="B99" s="78">
        <v>34</v>
      </c>
      <c r="C99" s="75">
        <v>11</v>
      </c>
      <c r="D99" s="20">
        <f t="shared" si="31"/>
        <v>347.8</v>
      </c>
      <c r="E99" s="8">
        <v>347.8</v>
      </c>
      <c r="F99" s="8"/>
      <c r="G99" s="18"/>
      <c r="H99" s="20"/>
      <c r="I99" s="8"/>
      <c r="J99" s="8"/>
      <c r="K99" s="18"/>
      <c r="L99" s="41">
        <f t="shared" si="32"/>
        <v>266.8</v>
      </c>
      <c r="M99" s="8">
        <v>266.8</v>
      </c>
      <c r="N99" s="8"/>
      <c r="O99" s="14"/>
      <c r="P99" s="151">
        <f t="shared" si="33"/>
        <v>448.6</v>
      </c>
      <c r="Q99" s="146">
        <v>448.6</v>
      </c>
      <c r="R99" s="146"/>
      <c r="S99" s="172"/>
      <c r="T99" s="179"/>
      <c r="U99" s="168"/>
      <c r="V99" s="169"/>
      <c r="W99" s="190"/>
    </row>
    <row r="100" spans="1:23" ht="12.75">
      <c r="A100" s="47" t="s">
        <v>19</v>
      </c>
      <c r="B100" s="78">
        <v>34</v>
      </c>
      <c r="C100" s="75">
        <v>13</v>
      </c>
      <c r="D100" s="20">
        <f t="shared" si="31"/>
        <v>133.4</v>
      </c>
      <c r="E100" s="8">
        <v>133.4</v>
      </c>
      <c r="F100" s="8"/>
      <c r="G100" s="18"/>
      <c r="H100" s="20"/>
      <c r="I100" s="8"/>
      <c r="J100" s="8"/>
      <c r="K100" s="18"/>
      <c r="L100" s="41">
        <f t="shared" si="32"/>
        <v>195</v>
      </c>
      <c r="M100" s="8">
        <v>195</v>
      </c>
      <c r="N100" s="8"/>
      <c r="O100" s="14"/>
      <c r="P100" s="151">
        <f t="shared" si="33"/>
        <v>178.2</v>
      </c>
      <c r="Q100" s="146">
        <v>178.2</v>
      </c>
      <c r="R100" s="146"/>
      <c r="S100" s="172"/>
      <c r="T100" s="179"/>
      <c r="U100" s="168"/>
      <c r="V100" s="169"/>
      <c r="W100" s="190"/>
    </row>
    <row r="101" spans="1:23" ht="25.5">
      <c r="A101" s="47" t="s">
        <v>27</v>
      </c>
      <c r="B101" s="78">
        <v>34</v>
      </c>
      <c r="C101" s="75">
        <v>15</v>
      </c>
      <c r="D101" s="20">
        <f t="shared" si="31"/>
        <v>0</v>
      </c>
      <c r="E101" s="8"/>
      <c r="F101" s="8"/>
      <c r="G101" s="18"/>
      <c r="H101" s="20"/>
      <c r="I101" s="8"/>
      <c r="J101" s="8"/>
      <c r="K101" s="18"/>
      <c r="L101" s="41">
        <f t="shared" si="32"/>
        <v>278.3</v>
      </c>
      <c r="M101" s="8">
        <v>71.5</v>
      </c>
      <c r="N101" s="8">
        <v>206.8</v>
      </c>
      <c r="O101" s="14"/>
      <c r="P101" s="151">
        <f t="shared" si="33"/>
        <v>0</v>
      </c>
      <c r="Q101" s="146">
        <v>0</v>
      </c>
      <c r="R101" s="146">
        <v>0</v>
      </c>
      <c r="S101" s="172"/>
      <c r="T101" s="179"/>
      <c r="U101" s="168"/>
      <c r="V101" s="169"/>
      <c r="W101" s="190"/>
    </row>
    <row r="102" spans="1:23" ht="25.5">
      <c r="A102" s="47" t="s">
        <v>22</v>
      </c>
      <c r="B102" s="78">
        <v>34</v>
      </c>
      <c r="C102" s="75">
        <v>19</v>
      </c>
      <c r="D102" s="20">
        <f t="shared" si="31"/>
        <v>71.9</v>
      </c>
      <c r="E102" s="8">
        <v>71.9</v>
      </c>
      <c r="F102" s="8"/>
      <c r="G102" s="18"/>
      <c r="H102" s="20"/>
      <c r="I102" s="8"/>
      <c r="J102" s="8"/>
      <c r="K102" s="18"/>
      <c r="L102" s="41">
        <f t="shared" si="32"/>
        <v>150</v>
      </c>
      <c r="M102" s="8">
        <v>150</v>
      </c>
      <c r="N102" s="8"/>
      <c r="O102" s="14"/>
      <c r="P102" s="151">
        <f t="shared" si="33"/>
        <v>94.3</v>
      </c>
      <c r="Q102" s="146">
        <v>94.3</v>
      </c>
      <c r="R102" s="146"/>
      <c r="S102" s="172"/>
      <c r="T102" s="179"/>
      <c r="U102" s="168"/>
      <c r="V102" s="169"/>
      <c r="W102" s="190"/>
    </row>
    <row r="103" spans="1:23" ht="25.5">
      <c r="A103" s="47" t="s">
        <v>23</v>
      </c>
      <c r="B103" s="78">
        <v>34</v>
      </c>
      <c r="C103" s="75">
        <v>20</v>
      </c>
      <c r="D103" s="20">
        <f t="shared" si="31"/>
        <v>2916.2</v>
      </c>
      <c r="E103" s="10">
        <f>2026+836+54.2</f>
        <v>2916.2</v>
      </c>
      <c r="F103" s="8"/>
      <c r="G103" s="18"/>
      <c r="H103" s="20"/>
      <c r="I103" s="10"/>
      <c r="J103" s="8"/>
      <c r="K103" s="18"/>
      <c r="L103" s="41">
        <f t="shared" si="32"/>
        <v>2576.1</v>
      </c>
      <c r="M103" s="8">
        <v>2576.1</v>
      </c>
      <c r="N103" s="8"/>
      <c r="O103" s="14"/>
      <c r="P103" s="151">
        <f t="shared" si="33"/>
        <v>2514.5</v>
      </c>
      <c r="Q103" s="146">
        <v>2514.5</v>
      </c>
      <c r="R103" s="146"/>
      <c r="S103" s="172"/>
      <c r="T103" s="181"/>
      <c r="U103" s="168"/>
      <c r="V103" s="169"/>
      <c r="W103" s="188"/>
    </row>
    <row r="104" spans="1:23" s="12" customFormat="1" ht="15">
      <c r="A104" s="45" t="s">
        <v>31</v>
      </c>
      <c r="B104" s="70">
        <v>36</v>
      </c>
      <c r="C104" s="79"/>
      <c r="D104" s="33"/>
      <c r="E104" s="11"/>
      <c r="F104" s="11"/>
      <c r="G104" s="31"/>
      <c r="H104" s="33"/>
      <c r="I104" s="11"/>
      <c r="J104" s="11"/>
      <c r="K104" s="31"/>
      <c r="L104" s="40"/>
      <c r="M104" s="11"/>
      <c r="N104" s="11"/>
      <c r="O104" s="35"/>
      <c r="P104" s="40"/>
      <c r="Q104" s="11"/>
      <c r="R104" s="11"/>
      <c r="S104" s="35"/>
      <c r="T104" s="178"/>
      <c r="U104" s="167"/>
      <c r="V104" s="163"/>
      <c r="W104" s="187"/>
    </row>
    <row r="105" spans="1:23" s="6" customFormat="1" ht="12.75">
      <c r="A105" s="46" t="s">
        <v>8</v>
      </c>
      <c r="B105" s="77">
        <v>36</v>
      </c>
      <c r="C105" s="73" t="s">
        <v>9</v>
      </c>
      <c r="D105" s="17">
        <f>SUM(D106:D115)</f>
        <v>88537.79999999999</v>
      </c>
      <c r="E105" s="5">
        <f>SUM(E106:E115)</f>
        <v>88385.19999999998</v>
      </c>
      <c r="F105" s="5">
        <f>SUM(F106:F115)</f>
        <v>152.6</v>
      </c>
      <c r="G105" s="16">
        <f>SUM(G106:G115)</f>
        <v>0</v>
      </c>
      <c r="H105" s="17">
        <f aca="true" t="shared" si="34" ref="H105:O105">SUM(H106:H115)</f>
        <v>0</v>
      </c>
      <c r="I105" s="5">
        <f t="shared" si="34"/>
        <v>0</v>
      </c>
      <c r="J105" s="5">
        <f t="shared" si="34"/>
        <v>0</v>
      </c>
      <c r="K105" s="16">
        <f t="shared" si="34"/>
        <v>0</v>
      </c>
      <c r="L105" s="38">
        <f t="shared" si="34"/>
        <v>93504</v>
      </c>
      <c r="M105" s="5">
        <f t="shared" si="34"/>
        <v>93293.2</v>
      </c>
      <c r="N105" s="5">
        <f t="shared" si="34"/>
        <v>210.8</v>
      </c>
      <c r="O105" s="13">
        <f t="shared" si="34"/>
        <v>0</v>
      </c>
      <c r="P105" s="143">
        <f>SUM(P106:P115)</f>
        <v>95719.20000000001</v>
      </c>
      <c r="Q105" s="144">
        <f>SUM(Q106:Q115)</f>
        <v>95566.60000000002</v>
      </c>
      <c r="R105" s="144">
        <f>SUM(R106:R115)</f>
        <v>152.6</v>
      </c>
      <c r="S105" s="171">
        <f>SUM(S106:S115)</f>
        <v>0</v>
      </c>
      <c r="T105" s="178"/>
      <c r="U105" s="167"/>
      <c r="V105" s="163"/>
      <c r="W105" s="187"/>
    </row>
    <row r="106" spans="1:23" ht="12.75">
      <c r="A106" s="47" t="s">
        <v>10</v>
      </c>
      <c r="B106" s="78">
        <v>36</v>
      </c>
      <c r="C106" s="75">
        <v>1</v>
      </c>
      <c r="D106" s="19">
        <f aca="true" t="shared" si="35" ref="D106:D115">E106+F106+G106</f>
        <v>7565.2</v>
      </c>
      <c r="E106" s="8">
        <v>7565.2</v>
      </c>
      <c r="F106" s="8"/>
      <c r="G106" s="18"/>
      <c r="H106" s="19"/>
      <c r="I106" s="8"/>
      <c r="J106" s="8"/>
      <c r="K106" s="18"/>
      <c r="L106" s="39">
        <f aca="true" t="shared" si="36" ref="L106:L115">M106+N106+O106</f>
        <v>8747.5</v>
      </c>
      <c r="M106" s="8">
        <v>8747.5</v>
      </c>
      <c r="N106" s="8"/>
      <c r="O106" s="14"/>
      <c r="P106" s="145">
        <f aca="true" t="shared" si="37" ref="P106:P115">Q106+R106+S106</f>
        <v>9481.5</v>
      </c>
      <c r="Q106" s="146">
        <v>9481.5</v>
      </c>
      <c r="R106" s="146"/>
      <c r="S106" s="172"/>
      <c r="T106" s="179"/>
      <c r="U106" s="168"/>
      <c r="V106" s="169"/>
      <c r="W106" s="190"/>
    </row>
    <row r="107" spans="1:23" ht="25.5">
      <c r="A107" s="47" t="s">
        <v>12</v>
      </c>
      <c r="B107" s="78">
        <v>36</v>
      </c>
      <c r="C107" s="75">
        <v>5</v>
      </c>
      <c r="D107" s="19">
        <f t="shared" si="35"/>
        <v>2898.1</v>
      </c>
      <c r="E107" s="8">
        <v>2898.1</v>
      </c>
      <c r="F107" s="8"/>
      <c r="G107" s="18"/>
      <c r="H107" s="19"/>
      <c r="I107" s="8"/>
      <c r="J107" s="8"/>
      <c r="K107" s="18"/>
      <c r="L107" s="39">
        <f t="shared" si="36"/>
        <v>3153.7</v>
      </c>
      <c r="M107" s="8">
        <v>3153.7</v>
      </c>
      <c r="N107" s="8"/>
      <c r="O107" s="14"/>
      <c r="P107" s="145">
        <f t="shared" si="37"/>
        <v>3428.3</v>
      </c>
      <c r="Q107" s="146">
        <v>3428.3</v>
      </c>
      <c r="R107" s="146"/>
      <c r="S107" s="172"/>
      <c r="T107" s="179"/>
      <c r="U107" s="168"/>
      <c r="V107" s="169"/>
      <c r="W107" s="190"/>
    </row>
    <row r="108" spans="1:23" ht="12.75">
      <c r="A108" s="47" t="s">
        <v>13</v>
      </c>
      <c r="B108" s="78">
        <v>36</v>
      </c>
      <c r="C108" s="75">
        <v>6</v>
      </c>
      <c r="D108" s="19">
        <f t="shared" si="35"/>
        <v>70059.3</v>
      </c>
      <c r="E108" s="8">
        <f>69472.3+440.6</f>
        <v>69912.90000000001</v>
      </c>
      <c r="F108" s="8">
        <v>146.4</v>
      </c>
      <c r="G108" s="18"/>
      <c r="H108" s="19"/>
      <c r="I108" s="8"/>
      <c r="J108" s="8"/>
      <c r="K108" s="18"/>
      <c r="L108" s="39">
        <f t="shared" si="36"/>
        <v>70752.2</v>
      </c>
      <c r="M108" s="8">
        <v>70561</v>
      </c>
      <c r="N108" s="8">
        <v>191.2</v>
      </c>
      <c r="O108" s="14"/>
      <c r="P108" s="145">
        <f t="shared" si="37"/>
        <v>73418.8</v>
      </c>
      <c r="Q108" s="146">
        <f>73418.8-146.4</f>
        <v>73272.40000000001</v>
      </c>
      <c r="R108" s="146">
        <v>146.4</v>
      </c>
      <c r="S108" s="172"/>
      <c r="T108" s="179"/>
      <c r="U108" s="168"/>
      <c r="V108" s="169"/>
      <c r="W108" s="190"/>
    </row>
    <row r="109" spans="1:23" ht="25.5">
      <c r="A109" s="47" t="s">
        <v>14</v>
      </c>
      <c r="B109" s="78">
        <v>36</v>
      </c>
      <c r="C109" s="75">
        <v>8</v>
      </c>
      <c r="D109" s="19">
        <f t="shared" si="35"/>
        <v>3236.1</v>
      </c>
      <c r="E109" s="8">
        <f>3105.5+124.4</f>
        <v>3229.9</v>
      </c>
      <c r="F109" s="8">
        <v>6.2</v>
      </c>
      <c r="G109" s="18"/>
      <c r="H109" s="19"/>
      <c r="I109" s="8"/>
      <c r="J109" s="8"/>
      <c r="K109" s="18"/>
      <c r="L109" s="39">
        <f t="shared" si="36"/>
        <v>5217.3</v>
      </c>
      <c r="M109" s="8">
        <v>5205</v>
      </c>
      <c r="N109" s="8">
        <v>12.3</v>
      </c>
      <c r="O109" s="14"/>
      <c r="P109" s="145">
        <f t="shared" si="37"/>
        <v>3781.2</v>
      </c>
      <c r="Q109" s="146">
        <f>3781.2-6.2</f>
        <v>3775</v>
      </c>
      <c r="R109" s="146">
        <v>6.2</v>
      </c>
      <c r="S109" s="172"/>
      <c r="T109" s="179"/>
      <c r="U109" s="168"/>
      <c r="V109" s="169"/>
      <c r="W109" s="190"/>
    </row>
    <row r="110" spans="1:23" ht="12.75">
      <c r="A110" s="47" t="s">
        <v>16</v>
      </c>
      <c r="B110" s="78">
        <v>36</v>
      </c>
      <c r="C110" s="75">
        <v>10</v>
      </c>
      <c r="D110" s="19">
        <f t="shared" si="35"/>
        <v>2265.2</v>
      </c>
      <c r="E110" s="8">
        <f>1933.6+331.6</f>
        <v>2265.2</v>
      </c>
      <c r="F110" s="8"/>
      <c r="G110" s="18"/>
      <c r="H110" s="19"/>
      <c r="I110" s="8"/>
      <c r="J110" s="8"/>
      <c r="K110" s="18"/>
      <c r="L110" s="39">
        <f t="shared" si="36"/>
        <v>2473.8</v>
      </c>
      <c r="M110" s="8">
        <v>2473.8</v>
      </c>
      <c r="N110" s="8"/>
      <c r="O110" s="14"/>
      <c r="P110" s="145">
        <f t="shared" si="37"/>
        <v>2659.6000000000004</v>
      </c>
      <c r="Q110" s="146">
        <f>2238.3+421.3</f>
        <v>2659.6000000000004</v>
      </c>
      <c r="R110" s="146"/>
      <c r="S110" s="172"/>
      <c r="T110" s="179"/>
      <c r="U110" s="168"/>
      <c r="V110" s="169"/>
      <c r="W110" s="190"/>
    </row>
    <row r="111" spans="1:23" ht="25.5">
      <c r="A111" s="47" t="s">
        <v>17</v>
      </c>
      <c r="B111" s="78">
        <v>36</v>
      </c>
      <c r="C111" s="75">
        <v>11</v>
      </c>
      <c r="D111" s="19">
        <f t="shared" si="35"/>
        <v>231.9</v>
      </c>
      <c r="E111" s="8">
        <v>231.9</v>
      </c>
      <c r="F111" s="8"/>
      <c r="G111" s="18"/>
      <c r="H111" s="19"/>
      <c r="I111" s="8"/>
      <c r="J111" s="8"/>
      <c r="K111" s="18"/>
      <c r="L111" s="39">
        <f t="shared" si="36"/>
        <v>335.2</v>
      </c>
      <c r="M111" s="8">
        <v>335.2</v>
      </c>
      <c r="N111" s="8"/>
      <c r="O111" s="14"/>
      <c r="P111" s="145">
        <f t="shared" si="37"/>
        <v>299.1</v>
      </c>
      <c r="Q111" s="146">
        <v>299.1</v>
      </c>
      <c r="R111" s="146"/>
      <c r="S111" s="172"/>
      <c r="T111" s="179"/>
      <c r="U111" s="168"/>
      <c r="V111" s="169"/>
      <c r="W111" s="190"/>
    </row>
    <row r="112" spans="1:23" ht="12.75">
      <c r="A112" s="47" t="s">
        <v>19</v>
      </c>
      <c r="B112" s="78">
        <v>36</v>
      </c>
      <c r="C112" s="75">
        <v>13</v>
      </c>
      <c r="D112" s="19">
        <f t="shared" si="35"/>
        <v>133.4</v>
      </c>
      <c r="E112" s="8">
        <v>133.4</v>
      </c>
      <c r="F112" s="8"/>
      <c r="G112" s="18"/>
      <c r="H112" s="19"/>
      <c r="I112" s="8"/>
      <c r="J112" s="8"/>
      <c r="K112" s="18"/>
      <c r="L112" s="39">
        <f t="shared" si="36"/>
        <v>151.7</v>
      </c>
      <c r="M112" s="8">
        <v>151.7</v>
      </c>
      <c r="N112" s="8"/>
      <c r="O112" s="14"/>
      <c r="P112" s="145">
        <f t="shared" si="37"/>
        <v>178.2</v>
      </c>
      <c r="Q112" s="146">
        <v>178.2</v>
      </c>
      <c r="R112" s="146"/>
      <c r="S112" s="172"/>
      <c r="T112" s="179"/>
      <c r="U112" s="168"/>
      <c r="V112" s="169"/>
      <c r="W112" s="190"/>
    </row>
    <row r="113" spans="1:23" ht="25.5">
      <c r="A113" s="47" t="s">
        <v>27</v>
      </c>
      <c r="B113" s="78">
        <v>36</v>
      </c>
      <c r="C113" s="75">
        <v>15</v>
      </c>
      <c r="D113" s="19">
        <f t="shared" si="35"/>
        <v>0</v>
      </c>
      <c r="E113" s="8"/>
      <c r="F113" s="8"/>
      <c r="G113" s="18"/>
      <c r="H113" s="19"/>
      <c r="I113" s="8"/>
      <c r="J113" s="8"/>
      <c r="K113" s="18"/>
      <c r="L113" s="39">
        <f t="shared" si="36"/>
        <v>8.1</v>
      </c>
      <c r="M113" s="8">
        <v>8.1</v>
      </c>
      <c r="N113" s="8"/>
      <c r="O113" s="14"/>
      <c r="P113" s="145">
        <f t="shared" si="37"/>
        <v>0</v>
      </c>
      <c r="Q113" s="146">
        <v>0</v>
      </c>
      <c r="R113" s="146"/>
      <c r="S113" s="172"/>
      <c r="T113" s="179"/>
      <c r="U113" s="168"/>
      <c r="V113" s="169"/>
      <c r="W113" s="190"/>
    </row>
    <row r="114" spans="1:23" ht="25.5">
      <c r="A114" s="47" t="s">
        <v>22</v>
      </c>
      <c r="B114" s="78">
        <v>36</v>
      </c>
      <c r="C114" s="75">
        <v>19</v>
      </c>
      <c r="D114" s="19">
        <f t="shared" si="35"/>
        <v>53.9</v>
      </c>
      <c r="E114" s="8">
        <v>53.9</v>
      </c>
      <c r="F114" s="8"/>
      <c r="G114" s="18"/>
      <c r="H114" s="19"/>
      <c r="I114" s="8"/>
      <c r="J114" s="8"/>
      <c r="K114" s="18"/>
      <c r="L114" s="39">
        <f t="shared" si="36"/>
        <v>84.4</v>
      </c>
      <c r="M114" s="8">
        <v>84.4</v>
      </c>
      <c r="N114" s="8"/>
      <c r="O114" s="14"/>
      <c r="P114" s="145">
        <f t="shared" si="37"/>
        <v>70.7</v>
      </c>
      <c r="Q114" s="146">
        <v>70.7</v>
      </c>
      <c r="R114" s="146"/>
      <c r="S114" s="172"/>
      <c r="T114" s="179"/>
      <c r="U114" s="168"/>
      <c r="V114" s="169"/>
      <c r="W114" s="190"/>
    </row>
    <row r="115" spans="1:23" ht="25.5">
      <c r="A115" s="47" t="s">
        <v>23</v>
      </c>
      <c r="B115" s="78">
        <v>36</v>
      </c>
      <c r="C115" s="75">
        <v>20</v>
      </c>
      <c r="D115" s="19">
        <f t="shared" si="35"/>
        <v>2094.7</v>
      </c>
      <c r="E115" s="8">
        <f>1935.2+798.5-639</f>
        <v>2094.7</v>
      </c>
      <c r="F115" s="8"/>
      <c r="G115" s="18"/>
      <c r="H115" s="19"/>
      <c r="I115" s="8"/>
      <c r="J115" s="8"/>
      <c r="K115" s="18"/>
      <c r="L115" s="39">
        <f t="shared" si="36"/>
        <v>2580.1000000000004</v>
      </c>
      <c r="M115" s="8">
        <v>2572.8</v>
      </c>
      <c r="N115" s="8">
        <v>7.3</v>
      </c>
      <c r="O115" s="14"/>
      <c r="P115" s="145">
        <f t="shared" si="37"/>
        <v>2401.8</v>
      </c>
      <c r="Q115" s="146">
        <v>2401.8</v>
      </c>
      <c r="R115" s="146"/>
      <c r="S115" s="172"/>
      <c r="T115" s="181"/>
      <c r="U115" s="168"/>
      <c r="V115" s="169"/>
      <c r="W115" s="188"/>
    </row>
    <row r="116" spans="1:23" s="12" customFormat="1" ht="15">
      <c r="A116" s="45" t="s">
        <v>32</v>
      </c>
      <c r="B116" s="70">
        <v>38</v>
      </c>
      <c r="C116" s="79"/>
      <c r="D116" s="33"/>
      <c r="E116" s="11"/>
      <c r="F116" s="11"/>
      <c r="G116" s="31"/>
      <c r="H116" s="33"/>
      <c r="I116" s="11"/>
      <c r="J116" s="11"/>
      <c r="K116" s="31"/>
      <c r="L116" s="40"/>
      <c r="M116" s="11"/>
      <c r="N116" s="11"/>
      <c r="O116" s="35"/>
      <c r="P116" s="40"/>
      <c r="Q116" s="11"/>
      <c r="R116" s="11"/>
      <c r="S116" s="35"/>
      <c r="T116" s="178"/>
      <c r="U116" s="167"/>
      <c r="V116" s="163"/>
      <c r="W116" s="187"/>
    </row>
    <row r="117" spans="1:23" s="6" customFormat="1" ht="12.75">
      <c r="A117" s="46" t="s">
        <v>8</v>
      </c>
      <c r="B117" s="77">
        <v>38</v>
      </c>
      <c r="C117" s="73" t="s">
        <v>9</v>
      </c>
      <c r="D117" s="17">
        <f>SUM(D118:D128)</f>
        <v>87268.99999999999</v>
      </c>
      <c r="E117" s="5">
        <f>SUM(E118:E128)</f>
        <v>86915.49999999999</v>
      </c>
      <c r="F117" s="5">
        <f>SUM(F118:F128)</f>
        <v>353.5</v>
      </c>
      <c r="G117" s="16">
        <f>SUM(G118:G128)</f>
        <v>0</v>
      </c>
      <c r="H117" s="17">
        <f aca="true" t="shared" si="38" ref="H117:O117">SUM(H118:H128)</f>
        <v>0</v>
      </c>
      <c r="I117" s="5">
        <f t="shared" si="38"/>
        <v>0</v>
      </c>
      <c r="J117" s="5">
        <f t="shared" si="38"/>
        <v>0</v>
      </c>
      <c r="K117" s="16">
        <f t="shared" si="38"/>
        <v>0</v>
      </c>
      <c r="L117" s="38">
        <f t="shared" si="38"/>
        <v>95165.40000000001</v>
      </c>
      <c r="M117" s="5">
        <f t="shared" si="38"/>
        <v>94693.80000000002</v>
      </c>
      <c r="N117" s="5">
        <f t="shared" si="38"/>
        <v>471.6</v>
      </c>
      <c r="O117" s="13">
        <f t="shared" si="38"/>
        <v>0</v>
      </c>
      <c r="P117" s="143">
        <f>SUM(P118:P128)</f>
        <v>95495.59999999999</v>
      </c>
      <c r="Q117" s="144">
        <f>SUM(Q118:Q128)</f>
        <v>95142.09999999999</v>
      </c>
      <c r="R117" s="144">
        <f>SUM(R118:R128)</f>
        <v>353.5</v>
      </c>
      <c r="S117" s="171">
        <f>SUM(S118:S128)</f>
        <v>0</v>
      </c>
      <c r="T117" s="178"/>
      <c r="U117" s="167"/>
      <c r="V117" s="163"/>
      <c r="W117" s="187"/>
    </row>
    <row r="118" spans="1:23" ht="12.75">
      <c r="A118" s="47" t="s">
        <v>10</v>
      </c>
      <c r="B118" s="78">
        <v>38</v>
      </c>
      <c r="C118" s="75">
        <v>1</v>
      </c>
      <c r="D118" s="20">
        <f aca="true" t="shared" si="39" ref="D118:D128">E118+F118+G118</f>
        <v>7872.900000000001</v>
      </c>
      <c r="E118" s="8">
        <v>7855.3</v>
      </c>
      <c r="F118" s="8">
        <v>17.6</v>
      </c>
      <c r="G118" s="18"/>
      <c r="H118" s="20"/>
      <c r="I118" s="8"/>
      <c r="J118" s="8"/>
      <c r="K118" s="18"/>
      <c r="L118" s="41">
        <f>M118+N118+O118</f>
        <v>9733.9</v>
      </c>
      <c r="M118" s="8">
        <v>9723.1</v>
      </c>
      <c r="N118" s="8">
        <v>10.8</v>
      </c>
      <c r="O118" s="14"/>
      <c r="P118" s="151">
        <f>Q118+R118+S118</f>
        <v>10052.1</v>
      </c>
      <c r="Q118" s="146">
        <v>10034.5</v>
      </c>
      <c r="R118" s="146">
        <v>17.6</v>
      </c>
      <c r="S118" s="172"/>
      <c r="T118" s="179"/>
      <c r="U118" s="168"/>
      <c r="V118" s="169"/>
      <c r="W118" s="190"/>
    </row>
    <row r="119" spans="1:23" ht="12.75">
      <c r="A119" s="47" t="s">
        <v>11</v>
      </c>
      <c r="B119" s="78">
        <v>38</v>
      </c>
      <c r="C119" s="75">
        <v>3</v>
      </c>
      <c r="D119" s="20">
        <f t="shared" si="39"/>
        <v>8.2</v>
      </c>
      <c r="E119" s="8">
        <v>8.2</v>
      </c>
      <c r="F119" s="8"/>
      <c r="G119" s="18"/>
      <c r="H119" s="20"/>
      <c r="I119" s="8"/>
      <c r="J119" s="8"/>
      <c r="K119" s="18"/>
      <c r="L119" s="41">
        <f>M119+N119+O119</f>
        <v>8.5</v>
      </c>
      <c r="M119" s="8">
        <v>8.5</v>
      </c>
      <c r="N119" s="8"/>
      <c r="O119" s="14"/>
      <c r="P119" s="151">
        <f>Q119+R119+S119</f>
        <v>9.5</v>
      </c>
      <c r="Q119" s="146">
        <v>9.5</v>
      </c>
      <c r="R119" s="146"/>
      <c r="S119" s="172"/>
      <c r="T119" s="179"/>
      <c r="U119" s="168"/>
      <c r="V119" s="169"/>
      <c r="W119" s="190"/>
    </row>
    <row r="120" spans="1:23" ht="25.5">
      <c r="A120" s="47" t="s">
        <v>12</v>
      </c>
      <c r="B120" s="78">
        <v>38</v>
      </c>
      <c r="C120" s="75">
        <v>5</v>
      </c>
      <c r="D120" s="20">
        <f t="shared" si="39"/>
        <v>3175.7</v>
      </c>
      <c r="E120" s="8">
        <v>3175.7</v>
      </c>
      <c r="F120" s="8"/>
      <c r="G120" s="18"/>
      <c r="H120" s="20"/>
      <c r="I120" s="8"/>
      <c r="J120" s="8"/>
      <c r="K120" s="18"/>
      <c r="L120" s="41">
        <f>M120+N120+O120</f>
        <v>3772.3</v>
      </c>
      <c r="M120" s="8">
        <v>3772.3</v>
      </c>
      <c r="N120" s="8"/>
      <c r="O120" s="14"/>
      <c r="P120" s="151">
        <f>Q120+R120+S120</f>
        <v>3818.1</v>
      </c>
      <c r="Q120" s="146">
        <v>3818.1</v>
      </c>
      <c r="R120" s="146"/>
      <c r="S120" s="172"/>
      <c r="T120" s="179"/>
      <c r="U120" s="168"/>
      <c r="V120" s="169"/>
      <c r="W120" s="190"/>
    </row>
    <row r="121" spans="1:23" ht="12.75">
      <c r="A121" s="47" t="s">
        <v>13</v>
      </c>
      <c r="B121" s="78">
        <v>38</v>
      </c>
      <c r="C121" s="75">
        <v>6</v>
      </c>
      <c r="D121" s="19">
        <f>E121+F121+G121</f>
        <v>66689.20000000001</v>
      </c>
      <c r="E121" s="8">
        <f>65928.1+440.6</f>
        <v>66368.70000000001</v>
      </c>
      <c r="F121" s="8">
        <v>320.5</v>
      </c>
      <c r="G121" s="18"/>
      <c r="H121" s="19"/>
      <c r="I121" s="8"/>
      <c r="J121" s="8"/>
      <c r="K121" s="18"/>
      <c r="L121" s="39">
        <f>M121+N121+O121</f>
        <v>68843.6</v>
      </c>
      <c r="M121" s="8">
        <v>68408.8</v>
      </c>
      <c r="N121" s="8">
        <v>434.8</v>
      </c>
      <c r="O121" s="14"/>
      <c r="P121" s="145">
        <f>Q121+R121+S121</f>
        <v>70328.3</v>
      </c>
      <c r="Q121" s="146">
        <f>70328.3-320.5</f>
        <v>70007.8</v>
      </c>
      <c r="R121" s="146">
        <v>320.5</v>
      </c>
      <c r="S121" s="172"/>
      <c r="T121" s="179"/>
      <c r="U121" s="168"/>
      <c r="V121" s="169"/>
      <c r="W121" s="190"/>
    </row>
    <row r="122" spans="1:23" ht="25.5">
      <c r="A122" s="47" t="s">
        <v>14</v>
      </c>
      <c r="B122" s="78">
        <v>38</v>
      </c>
      <c r="C122" s="75">
        <v>8</v>
      </c>
      <c r="D122" s="20">
        <f t="shared" si="39"/>
        <v>3516.4</v>
      </c>
      <c r="E122" s="8">
        <f>3376.6+124.4</f>
        <v>3501</v>
      </c>
      <c r="F122" s="8">
        <v>15.4</v>
      </c>
      <c r="G122" s="18"/>
      <c r="H122" s="20"/>
      <c r="I122" s="8"/>
      <c r="J122" s="8"/>
      <c r="K122" s="18"/>
      <c r="L122" s="41">
        <f aca="true" t="shared" si="40" ref="L122:L128">M122+N122+O122</f>
        <v>4865.9</v>
      </c>
      <c r="M122" s="8">
        <v>4865.9</v>
      </c>
      <c r="N122" s="8"/>
      <c r="O122" s="14"/>
      <c r="P122" s="151">
        <f aca="true" t="shared" si="41" ref="P122:P128">Q122+R122+S122</f>
        <v>4155.8</v>
      </c>
      <c r="Q122" s="146">
        <f>4155.8-15.4</f>
        <v>4140.400000000001</v>
      </c>
      <c r="R122" s="146">
        <v>15.4</v>
      </c>
      <c r="S122" s="172"/>
      <c r="T122" s="179"/>
      <c r="U122" s="168"/>
      <c r="V122" s="169"/>
      <c r="W122" s="190"/>
    </row>
    <row r="123" spans="1:23" ht="12.75">
      <c r="A123" s="47" t="s">
        <v>16</v>
      </c>
      <c r="B123" s="78">
        <v>38</v>
      </c>
      <c r="C123" s="75">
        <v>10</v>
      </c>
      <c r="D123" s="20">
        <f t="shared" si="39"/>
        <v>3345</v>
      </c>
      <c r="E123" s="8">
        <f>3013.4+331.6</f>
        <v>3345</v>
      </c>
      <c r="F123" s="8"/>
      <c r="G123" s="18"/>
      <c r="H123" s="20"/>
      <c r="I123" s="8"/>
      <c r="J123" s="8"/>
      <c r="K123" s="18"/>
      <c r="L123" s="41">
        <f t="shared" si="40"/>
        <v>4845.6</v>
      </c>
      <c r="M123" s="8">
        <v>4845.6</v>
      </c>
      <c r="N123" s="8"/>
      <c r="O123" s="14"/>
      <c r="P123" s="151">
        <f t="shared" si="41"/>
        <v>4080.4</v>
      </c>
      <c r="Q123" s="146">
        <f>3659.1+421.3</f>
        <v>4080.4</v>
      </c>
      <c r="R123" s="146"/>
      <c r="S123" s="172"/>
      <c r="T123" s="179"/>
      <c r="U123" s="168"/>
      <c r="V123" s="169"/>
      <c r="W123" s="190"/>
    </row>
    <row r="124" spans="1:23" ht="25.5">
      <c r="A124" s="47" t="s">
        <v>17</v>
      </c>
      <c r="B124" s="78">
        <v>38</v>
      </c>
      <c r="C124" s="75">
        <v>11</v>
      </c>
      <c r="D124" s="20">
        <f t="shared" si="39"/>
        <v>231.9</v>
      </c>
      <c r="E124" s="8">
        <v>231.9</v>
      </c>
      <c r="F124" s="8"/>
      <c r="G124" s="18"/>
      <c r="H124" s="20"/>
      <c r="I124" s="8"/>
      <c r="J124" s="8"/>
      <c r="K124" s="18"/>
      <c r="L124" s="41">
        <f t="shared" si="40"/>
        <v>247</v>
      </c>
      <c r="M124" s="8">
        <v>247</v>
      </c>
      <c r="N124" s="8"/>
      <c r="O124" s="14"/>
      <c r="P124" s="151">
        <f t="shared" si="41"/>
        <v>299.1</v>
      </c>
      <c r="Q124" s="146">
        <v>299.1</v>
      </c>
      <c r="R124" s="146"/>
      <c r="S124" s="172"/>
      <c r="T124" s="179"/>
      <c r="U124" s="168"/>
      <c r="V124" s="169"/>
      <c r="W124" s="190"/>
    </row>
    <row r="125" spans="1:23" ht="12.75">
      <c r="A125" s="47" t="s">
        <v>19</v>
      </c>
      <c r="B125" s="78">
        <v>38</v>
      </c>
      <c r="C125" s="75">
        <v>13</v>
      </c>
      <c r="D125" s="20">
        <f t="shared" si="39"/>
        <v>133.4</v>
      </c>
      <c r="E125" s="8">
        <v>133.4</v>
      </c>
      <c r="F125" s="8"/>
      <c r="G125" s="18"/>
      <c r="H125" s="20"/>
      <c r="I125" s="8"/>
      <c r="J125" s="8"/>
      <c r="K125" s="18"/>
      <c r="L125" s="41">
        <f t="shared" si="40"/>
        <v>186.8</v>
      </c>
      <c r="M125" s="8">
        <v>186.8</v>
      </c>
      <c r="N125" s="8"/>
      <c r="O125" s="14"/>
      <c r="P125" s="151">
        <f t="shared" si="41"/>
        <v>178.2</v>
      </c>
      <c r="Q125" s="146">
        <v>178.2</v>
      </c>
      <c r="R125" s="146"/>
      <c r="S125" s="172"/>
      <c r="T125" s="179"/>
      <c r="U125" s="168"/>
      <c r="V125" s="169"/>
      <c r="W125" s="190"/>
    </row>
    <row r="126" spans="1:23" ht="25.5">
      <c r="A126" s="47" t="s">
        <v>27</v>
      </c>
      <c r="B126" s="78">
        <v>38</v>
      </c>
      <c r="C126" s="75">
        <v>15</v>
      </c>
      <c r="D126" s="20">
        <f t="shared" si="39"/>
        <v>0</v>
      </c>
      <c r="E126" s="8"/>
      <c r="F126" s="8"/>
      <c r="G126" s="18"/>
      <c r="H126" s="20"/>
      <c r="I126" s="8"/>
      <c r="J126" s="8"/>
      <c r="K126" s="18"/>
      <c r="L126" s="41">
        <f t="shared" si="40"/>
        <v>26</v>
      </c>
      <c r="M126" s="8"/>
      <c r="N126" s="8">
        <v>26</v>
      </c>
      <c r="O126" s="14"/>
      <c r="P126" s="151">
        <f t="shared" si="41"/>
        <v>0</v>
      </c>
      <c r="Q126" s="146"/>
      <c r="R126" s="146">
        <v>0</v>
      </c>
      <c r="S126" s="172"/>
      <c r="T126" s="179"/>
      <c r="U126" s="168"/>
      <c r="V126" s="169"/>
      <c r="W126" s="190"/>
    </row>
    <row r="127" spans="1:23" ht="25.5">
      <c r="A127" s="47" t="s">
        <v>22</v>
      </c>
      <c r="B127" s="78">
        <v>38</v>
      </c>
      <c r="C127" s="75">
        <v>19</v>
      </c>
      <c r="D127" s="20">
        <f t="shared" si="39"/>
        <v>53.9</v>
      </c>
      <c r="E127" s="8">
        <v>53.9</v>
      </c>
      <c r="F127" s="8"/>
      <c r="G127" s="18"/>
      <c r="H127" s="20"/>
      <c r="I127" s="8"/>
      <c r="J127" s="8"/>
      <c r="K127" s="18"/>
      <c r="L127" s="41">
        <f t="shared" si="40"/>
        <v>87.7</v>
      </c>
      <c r="M127" s="8">
        <v>87.7</v>
      </c>
      <c r="N127" s="8"/>
      <c r="O127" s="14"/>
      <c r="P127" s="151">
        <f t="shared" si="41"/>
        <v>70.7</v>
      </c>
      <c r="Q127" s="146">
        <v>70.7</v>
      </c>
      <c r="R127" s="146"/>
      <c r="S127" s="172"/>
      <c r="T127" s="179"/>
      <c r="U127" s="168"/>
      <c r="V127" s="169"/>
      <c r="W127" s="190"/>
    </row>
    <row r="128" spans="1:23" ht="25.5">
      <c r="A128" s="47" t="s">
        <v>23</v>
      </c>
      <c r="B128" s="78">
        <v>38</v>
      </c>
      <c r="C128" s="75">
        <v>20</v>
      </c>
      <c r="D128" s="20">
        <f t="shared" si="39"/>
        <v>2242.3999999999996</v>
      </c>
      <c r="E128" s="8">
        <f>2017.1+832.3-607</f>
        <v>2242.3999999999996</v>
      </c>
      <c r="F128" s="8"/>
      <c r="G128" s="18"/>
      <c r="H128" s="20"/>
      <c r="I128" s="8"/>
      <c r="J128" s="8"/>
      <c r="K128" s="18"/>
      <c r="L128" s="41">
        <f t="shared" si="40"/>
        <v>2548.1</v>
      </c>
      <c r="M128" s="8">
        <v>2548.1</v>
      </c>
      <c r="N128" s="8"/>
      <c r="O128" s="14"/>
      <c r="P128" s="151">
        <f t="shared" si="41"/>
        <v>2503.4</v>
      </c>
      <c r="Q128" s="146">
        <v>2503.4</v>
      </c>
      <c r="R128" s="146"/>
      <c r="S128" s="172"/>
      <c r="T128" s="181"/>
      <c r="U128" s="168"/>
      <c r="V128" s="169"/>
      <c r="W128" s="188"/>
    </row>
    <row r="129" spans="1:23" s="12" customFormat="1" ht="15">
      <c r="A129" s="45" t="s">
        <v>33</v>
      </c>
      <c r="B129" s="70">
        <v>40</v>
      </c>
      <c r="C129" s="79"/>
      <c r="D129" s="33"/>
      <c r="E129" s="11"/>
      <c r="F129" s="11"/>
      <c r="G129" s="31"/>
      <c r="H129" s="33"/>
      <c r="I129" s="11"/>
      <c r="J129" s="11"/>
      <c r="K129" s="31"/>
      <c r="L129" s="40"/>
      <c r="M129" s="11"/>
      <c r="N129" s="11"/>
      <c r="O129" s="35"/>
      <c r="P129" s="40"/>
      <c r="Q129" s="11"/>
      <c r="R129" s="11"/>
      <c r="S129" s="35"/>
      <c r="T129" s="178"/>
      <c r="U129" s="167"/>
      <c r="V129" s="163"/>
      <c r="W129" s="187"/>
    </row>
    <row r="130" spans="1:23" s="6" customFormat="1" ht="12.75">
      <c r="A130" s="46" t="s">
        <v>8</v>
      </c>
      <c r="B130" s="77">
        <v>40</v>
      </c>
      <c r="C130" s="73" t="s">
        <v>9</v>
      </c>
      <c r="D130" s="17">
        <f>SUM(D131:D141)</f>
        <v>118494.49999999999</v>
      </c>
      <c r="E130" s="5">
        <f>SUM(E131:E141)</f>
        <v>118388.9</v>
      </c>
      <c r="F130" s="5">
        <f>SUM(F131:F141)</f>
        <v>105.60000000000001</v>
      </c>
      <c r="G130" s="16">
        <f>SUM(G131:G141)</f>
        <v>0</v>
      </c>
      <c r="H130" s="17">
        <f aca="true" t="shared" si="42" ref="H130:O130">SUM(H131:H141)</f>
        <v>0</v>
      </c>
      <c r="I130" s="5">
        <f t="shared" si="42"/>
        <v>0</v>
      </c>
      <c r="J130" s="5">
        <f t="shared" si="42"/>
        <v>0</v>
      </c>
      <c r="K130" s="16">
        <f t="shared" si="42"/>
        <v>0</v>
      </c>
      <c r="L130" s="38">
        <f t="shared" si="42"/>
        <v>134852.5</v>
      </c>
      <c r="M130" s="5">
        <f t="shared" si="42"/>
        <v>133948.8</v>
      </c>
      <c r="N130" s="5">
        <f t="shared" si="42"/>
        <v>903.7</v>
      </c>
      <c r="O130" s="13">
        <f t="shared" si="42"/>
        <v>0</v>
      </c>
      <c r="P130" s="143">
        <f>SUM(P131:P141)</f>
        <v>128827.80000000002</v>
      </c>
      <c r="Q130" s="144">
        <f>SUM(Q131:Q141)</f>
        <v>128722.20000000003</v>
      </c>
      <c r="R130" s="144">
        <f>SUM(R131:R141)</f>
        <v>105.60000000000001</v>
      </c>
      <c r="S130" s="171">
        <f>SUM(S131:S141)</f>
        <v>0</v>
      </c>
      <c r="T130" s="178"/>
      <c r="U130" s="167"/>
      <c r="V130" s="163"/>
      <c r="W130" s="187"/>
    </row>
    <row r="131" spans="1:23" ht="12.75">
      <c r="A131" s="47" t="s">
        <v>10</v>
      </c>
      <c r="B131" s="78">
        <v>40</v>
      </c>
      <c r="C131" s="75">
        <v>1</v>
      </c>
      <c r="D131" s="19">
        <f aca="true" t="shared" si="43" ref="D131:D141">E131+F131+G131</f>
        <v>8207.7</v>
      </c>
      <c r="E131" s="8">
        <v>8207.7</v>
      </c>
      <c r="F131" s="8"/>
      <c r="G131" s="18"/>
      <c r="H131" s="19"/>
      <c r="I131" s="8"/>
      <c r="J131" s="8"/>
      <c r="K131" s="18"/>
      <c r="L131" s="39">
        <f aca="true" t="shared" si="44" ref="L131:L141">M131+N131+O131</f>
        <v>9938.8</v>
      </c>
      <c r="M131" s="8">
        <v>9938.8</v>
      </c>
      <c r="N131" s="8"/>
      <c r="O131" s="14"/>
      <c r="P131" s="145">
        <f aca="true" t="shared" si="45" ref="P131:P141">Q131+R131+S131</f>
        <v>10482.3</v>
      </c>
      <c r="Q131" s="146">
        <v>10482.3</v>
      </c>
      <c r="R131" s="146"/>
      <c r="S131" s="172"/>
      <c r="T131" s="179"/>
      <c r="U131" s="168"/>
      <c r="V131" s="169"/>
      <c r="W131" s="190"/>
    </row>
    <row r="132" spans="1:23" ht="12.75">
      <c r="A132" s="47" t="s">
        <v>11</v>
      </c>
      <c r="B132" s="78">
        <v>40</v>
      </c>
      <c r="C132" s="75">
        <v>3</v>
      </c>
      <c r="D132" s="19">
        <f t="shared" si="43"/>
        <v>96.8</v>
      </c>
      <c r="E132" s="8">
        <v>96.8</v>
      </c>
      <c r="F132" s="8"/>
      <c r="G132" s="18"/>
      <c r="H132" s="19"/>
      <c r="I132" s="8"/>
      <c r="J132" s="8"/>
      <c r="K132" s="18"/>
      <c r="L132" s="39">
        <f t="shared" si="44"/>
        <v>119.2</v>
      </c>
      <c r="M132" s="8">
        <v>119.2</v>
      </c>
      <c r="N132" s="8"/>
      <c r="O132" s="14"/>
      <c r="P132" s="145">
        <f t="shared" si="45"/>
        <v>109.7</v>
      </c>
      <c r="Q132" s="146">
        <v>109.7</v>
      </c>
      <c r="R132" s="146"/>
      <c r="S132" s="172"/>
      <c r="T132" s="179"/>
      <c r="U132" s="168"/>
      <c r="V132" s="169"/>
      <c r="W132" s="190"/>
    </row>
    <row r="133" spans="1:23" ht="25.5">
      <c r="A133" s="47" t="s">
        <v>12</v>
      </c>
      <c r="B133" s="78">
        <v>40</v>
      </c>
      <c r="C133" s="75">
        <v>5</v>
      </c>
      <c r="D133" s="19">
        <f t="shared" si="43"/>
        <v>4181.7</v>
      </c>
      <c r="E133" s="8">
        <v>4181.7</v>
      </c>
      <c r="F133" s="8"/>
      <c r="G133" s="18"/>
      <c r="H133" s="19"/>
      <c r="I133" s="8"/>
      <c r="J133" s="8"/>
      <c r="K133" s="18"/>
      <c r="L133" s="39">
        <f t="shared" si="44"/>
        <v>4782.1</v>
      </c>
      <c r="M133" s="8">
        <v>4782.1</v>
      </c>
      <c r="N133" s="8"/>
      <c r="O133" s="14"/>
      <c r="P133" s="145">
        <f t="shared" si="45"/>
        <v>5024.6</v>
      </c>
      <c r="Q133" s="146">
        <v>5024.6</v>
      </c>
      <c r="R133" s="146"/>
      <c r="S133" s="172"/>
      <c r="T133" s="179"/>
      <c r="U133" s="168"/>
      <c r="V133" s="169"/>
      <c r="W133" s="190"/>
    </row>
    <row r="134" spans="1:23" ht="12.75">
      <c r="A134" s="47" t="s">
        <v>13</v>
      </c>
      <c r="B134" s="78">
        <v>40</v>
      </c>
      <c r="C134" s="75">
        <v>6</v>
      </c>
      <c r="D134" s="19">
        <f t="shared" si="43"/>
        <v>93529.2</v>
      </c>
      <c r="E134" s="8">
        <f>92877.5+560.8</f>
        <v>93438.3</v>
      </c>
      <c r="F134" s="8">
        <v>90.9</v>
      </c>
      <c r="G134" s="18"/>
      <c r="H134" s="19"/>
      <c r="I134" s="8"/>
      <c r="J134" s="8"/>
      <c r="K134" s="18"/>
      <c r="L134" s="39">
        <f t="shared" si="44"/>
        <v>102284.9</v>
      </c>
      <c r="M134" s="8">
        <v>102208.4</v>
      </c>
      <c r="N134" s="8">
        <v>76.5</v>
      </c>
      <c r="O134" s="14"/>
      <c r="P134" s="145">
        <f t="shared" si="45"/>
        <v>98235.6</v>
      </c>
      <c r="Q134" s="146">
        <f>98235.6-90.9</f>
        <v>98144.70000000001</v>
      </c>
      <c r="R134" s="146">
        <v>90.9</v>
      </c>
      <c r="S134" s="172"/>
      <c r="T134" s="179"/>
      <c r="U134" s="168"/>
      <c r="V134" s="169"/>
      <c r="W134" s="190"/>
    </row>
    <row r="135" spans="1:23" ht="25.5">
      <c r="A135" s="47" t="s">
        <v>14</v>
      </c>
      <c r="B135" s="78">
        <v>40</v>
      </c>
      <c r="C135" s="75">
        <v>8</v>
      </c>
      <c r="D135" s="19">
        <f t="shared" si="43"/>
        <v>4026.5</v>
      </c>
      <c r="E135" s="8">
        <f>3887.4+124.4</f>
        <v>4011.8</v>
      </c>
      <c r="F135" s="8">
        <v>14.7</v>
      </c>
      <c r="G135" s="18"/>
      <c r="H135" s="19"/>
      <c r="I135" s="8"/>
      <c r="J135" s="8"/>
      <c r="K135" s="18"/>
      <c r="L135" s="39">
        <f t="shared" si="44"/>
        <v>5937.599999999999</v>
      </c>
      <c r="M135" s="8">
        <v>5920.4</v>
      </c>
      <c r="N135" s="8">
        <v>17.2</v>
      </c>
      <c r="O135" s="14"/>
      <c r="P135" s="145">
        <f t="shared" si="45"/>
        <v>4755.5</v>
      </c>
      <c r="Q135" s="146">
        <f>4755.5-14.7</f>
        <v>4740.8</v>
      </c>
      <c r="R135" s="146">
        <v>14.7</v>
      </c>
      <c r="S135" s="172"/>
      <c r="T135" s="179"/>
      <c r="U135" s="168"/>
      <c r="V135" s="169"/>
      <c r="W135" s="190"/>
    </row>
    <row r="136" spans="1:23" ht="12.75">
      <c r="A136" s="47" t="s">
        <v>16</v>
      </c>
      <c r="B136" s="78">
        <v>40</v>
      </c>
      <c r="C136" s="75">
        <v>10</v>
      </c>
      <c r="D136" s="19">
        <f t="shared" si="43"/>
        <v>5608</v>
      </c>
      <c r="E136" s="8">
        <f>5169.6+414.5+23.9</f>
        <v>5608</v>
      </c>
      <c r="F136" s="8"/>
      <c r="G136" s="18"/>
      <c r="H136" s="19"/>
      <c r="I136" s="8"/>
      <c r="J136" s="8"/>
      <c r="K136" s="18"/>
      <c r="L136" s="39">
        <f t="shared" si="44"/>
        <v>7064.3</v>
      </c>
      <c r="M136" s="8">
        <v>7064.3</v>
      </c>
      <c r="N136" s="8"/>
      <c r="O136" s="14"/>
      <c r="P136" s="145">
        <f t="shared" si="45"/>
        <v>7065.8</v>
      </c>
      <c r="Q136" s="146">
        <f>6539.2+526.6</f>
        <v>7065.8</v>
      </c>
      <c r="R136" s="146"/>
      <c r="S136" s="172"/>
      <c r="T136" s="179"/>
      <c r="U136" s="168"/>
      <c r="V136" s="169"/>
      <c r="W136" s="190"/>
    </row>
    <row r="137" spans="1:23" ht="25.5">
      <c r="A137" s="47" t="s">
        <v>17</v>
      </c>
      <c r="B137" s="78">
        <v>40</v>
      </c>
      <c r="C137" s="75">
        <v>11</v>
      </c>
      <c r="D137" s="19">
        <f t="shared" si="43"/>
        <v>347.8</v>
      </c>
      <c r="E137" s="8">
        <v>347.8</v>
      </c>
      <c r="F137" s="8"/>
      <c r="G137" s="18"/>
      <c r="H137" s="19"/>
      <c r="I137" s="8"/>
      <c r="J137" s="8"/>
      <c r="K137" s="18"/>
      <c r="L137" s="39">
        <f t="shared" si="44"/>
        <v>393</v>
      </c>
      <c r="M137" s="8">
        <v>393</v>
      </c>
      <c r="N137" s="8"/>
      <c r="O137" s="14"/>
      <c r="P137" s="145">
        <f t="shared" si="45"/>
        <v>448.6</v>
      </c>
      <c r="Q137" s="146">
        <v>448.6</v>
      </c>
      <c r="R137" s="146"/>
      <c r="S137" s="172"/>
      <c r="T137" s="179"/>
      <c r="U137" s="168"/>
      <c r="V137" s="169"/>
      <c r="W137" s="190"/>
    </row>
    <row r="138" spans="1:23" ht="12.75">
      <c r="A138" s="47" t="s">
        <v>19</v>
      </c>
      <c r="B138" s="78">
        <v>40</v>
      </c>
      <c r="C138" s="75">
        <v>13</v>
      </c>
      <c r="D138" s="19">
        <f t="shared" si="43"/>
        <v>133.4</v>
      </c>
      <c r="E138" s="8">
        <v>133.4</v>
      </c>
      <c r="F138" s="8"/>
      <c r="G138" s="18"/>
      <c r="H138" s="19"/>
      <c r="I138" s="8"/>
      <c r="J138" s="8"/>
      <c r="K138" s="18"/>
      <c r="L138" s="39">
        <f t="shared" si="44"/>
        <v>199</v>
      </c>
      <c r="M138" s="8">
        <v>199</v>
      </c>
      <c r="N138" s="8"/>
      <c r="O138" s="14"/>
      <c r="P138" s="145">
        <f t="shared" si="45"/>
        <v>178.2</v>
      </c>
      <c r="Q138" s="146">
        <v>178.2</v>
      </c>
      <c r="R138" s="146"/>
      <c r="S138" s="172"/>
      <c r="T138" s="179"/>
      <c r="U138" s="168"/>
      <c r="V138" s="169"/>
      <c r="W138" s="190"/>
    </row>
    <row r="139" spans="1:23" ht="25.5">
      <c r="A139" s="47" t="s">
        <v>27</v>
      </c>
      <c r="B139" s="78">
        <v>40</v>
      </c>
      <c r="C139" s="75">
        <v>15</v>
      </c>
      <c r="D139" s="19">
        <f t="shared" si="43"/>
        <v>0</v>
      </c>
      <c r="E139" s="8"/>
      <c r="F139" s="8"/>
      <c r="G139" s="18"/>
      <c r="H139" s="19"/>
      <c r="I139" s="8"/>
      <c r="J139" s="8"/>
      <c r="K139" s="18"/>
      <c r="L139" s="39">
        <f t="shared" si="44"/>
        <v>1180.1999999999998</v>
      </c>
      <c r="M139" s="8">
        <v>580.8</v>
      </c>
      <c r="N139" s="8">
        <v>599.4</v>
      </c>
      <c r="O139" s="14"/>
      <c r="P139" s="145">
        <f t="shared" si="45"/>
        <v>0</v>
      </c>
      <c r="Q139" s="146">
        <v>0</v>
      </c>
      <c r="R139" s="146">
        <v>0</v>
      </c>
      <c r="S139" s="172"/>
      <c r="T139" s="179"/>
      <c r="U139" s="168"/>
      <c r="V139" s="169"/>
      <c r="W139" s="190"/>
    </row>
    <row r="140" spans="1:23" ht="25.5">
      <c r="A140" s="47" t="s">
        <v>22</v>
      </c>
      <c r="B140" s="78">
        <v>40</v>
      </c>
      <c r="C140" s="75">
        <v>19</v>
      </c>
      <c r="D140" s="19">
        <f t="shared" si="43"/>
        <v>71.9</v>
      </c>
      <c r="E140" s="8">
        <v>71.9</v>
      </c>
      <c r="F140" s="8"/>
      <c r="G140" s="18"/>
      <c r="H140" s="19"/>
      <c r="I140" s="8"/>
      <c r="J140" s="8"/>
      <c r="K140" s="18"/>
      <c r="L140" s="39">
        <f t="shared" si="44"/>
        <v>100.9</v>
      </c>
      <c r="M140" s="8">
        <v>100.9</v>
      </c>
      <c r="N140" s="8"/>
      <c r="O140" s="14"/>
      <c r="P140" s="145">
        <f t="shared" si="45"/>
        <v>94.3</v>
      </c>
      <c r="Q140" s="146">
        <v>94.3</v>
      </c>
      <c r="R140" s="146"/>
      <c r="S140" s="172"/>
      <c r="T140" s="179"/>
      <c r="U140" s="168"/>
      <c r="V140" s="169"/>
      <c r="W140" s="190"/>
    </row>
    <row r="141" spans="1:23" ht="25.5">
      <c r="A141" s="47" t="s">
        <v>23</v>
      </c>
      <c r="B141" s="78">
        <v>40</v>
      </c>
      <c r="C141" s="75">
        <v>20</v>
      </c>
      <c r="D141" s="19">
        <f t="shared" si="43"/>
        <v>2291.5</v>
      </c>
      <c r="E141" s="8">
        <f>1960.5+808.9-477.9</f>
        <v>2291.5</v>
      </c>
      <c r="F141" s="8"/>
      <c r="G141" s="18"/>
      <c r="H141" s="19"/>
      <c r="I141" s="8"/>
      <c r="J141" s="8"/>
      <c r="K141" s="18"/>
      <c r="L141" s="39">
        <f t="shared" si="44"/>
        <v>2852.5</v>
      </c>
      <c r="M141" s="8">
        <v>2641.9</v>
      </c>
      <c r="N141" s="8">
        <v>210.6</v>
      </c>
      <c r="O141" s="14"/>
      <c r="P141" s="145">
        <f t="shared" si="45"/>
        <v>2433.2</v>
      </c>
      <c r="Q141" s="146">
        <v>2433.2</v>
      </c>
      <c r="R141" s="146"/>
      <c r="S141" s="172"/>
      <c r="T141" s="181"/>
      <c r="U141" s="168"/>
      <c r="V141" s="169"/>
      <c r="W141" s="188"/>
    </row>
    <row r="142" spans="1:23" s="12" customFormat="1" ht="15">
      <c r="A142" s="45" t="s">
        <v>34</v>
      </c>
      <c r="B142" s="70">
        <v>43</v>
      </c>
      <c r="C142" s="79"/>
      <c r="D142" s="33"/>
      <c r="E142" s="11"/>
      <c r="F142" s="11"/>
      <c r="G142" s="31"/>
      <c r="H142" s="33"/>
      <c r="I142" s="11"/>
      <c r="J142" s="11"/>
      <c r="K142" s="31"/>
      <c r="L142" s="40"/>
      <c r="M142" s="11"/>
      <c r="N142" s="11"/>
      <c r="O142" s="35"/>
      <c r="P142" s="40"/>
      <c r="Q142" s="11"/>
      <c r="R142" s="11"/>
      <c r="S142" s="35"/>
      <c r="T142" s="178"/>
      <c r="U142" s="167"/>
      <c r="V142" s="163"/>
      <c r="W142" s="187"/>
    </row>
    <row r="143" spans="1:23" s="6" customFormat="1" ht="12.75">
      <c r="A143" s="46" t="s">
        <v>8</v>
      </c>
      <c r="B143" s="77">
        <v>43</v>
      </c>
      <c r="C143" s="73" t="s">
        <v>9</v>
      </c>
      <c r="D143" s="17">
        <f>SUM(D144:D155)</f>
        <v>213638.59999999998</v>
      </c>
      <c r="E143" s="5">
        <f>SUM(E144:E155)</f>
        <v>212282.8</v>
      </c>
      <c r="F143" s="5">
        <f>SUM(F144:F155)</f>
        <v>1131.7</v>
      </c>
      <c r="G143" s="16">
        <f>SUM(G144:G155)</f>
        <v>224.1</v>
      </c>
      <c r="H143" s="17">
        <f aca="true" t="shared" si="46" ref="H143:O143">SUM(H144:H155)</f>
        <v>0</v>
      </c>
      <c r="I143" s="5">
        <f t="shared" si="46"/>
        <v>0</v>
      </c>
      <c r="J143" s="5">
        <f t="shared" si="46"/>
        <v>0</v>
      </c>
      <c r="K143" s="16">
        <f t="shared" si="46"/>
        <v>0</v>
      </c>
      <c r="L143" s="38">
        <f t="shared" si="46"/>
        <v>0</v>
      </c>
      <c r="M143" s="5">
        <f t="shared" si="46"/>
        <v>0</v>
      </c>
      <c r="N143" s="5">
        <f t="shared" si="46"/>
        <v>0</v>
      </c>
      <c r="O143" s="13">
        <f t="shared" si="46"/>
        <v>0</v>
      </c>
      <c r="P143" s="143">
        <f>SUM(P144:P155)</f>
        <v>231540.69999999998</v>
      </c>
      <c r="Q143" s="144">
        <f>SUM(Q144:Q155)</f>
        <v>230184.9</v>
      </c>
      <c r="R143" s="144">
        <f>SUM(R144:R155)</f>
        <v>1131.7</v>
      </c>
      <c r="S143" s="171">
        <f>SUM(S144:S155)</f>
        <v>224.1</v>
      </c>
      <c r="T143" s="178"/>
      <c r="U143" s="167"/>
      <c r="V143" s="163"/>
      <c r="W143" s="187"/>
    </row>
    <row r="144" spans="1:23" ht="12.75">
      <c r="A144" s="47" t="s">
        <v>10</v>
      </c>
      <c r="B144" s="78">
        <v>43</v>
      </c>
      <c r="C144" s="75">
        <v>1</v>
      </c>
      <c r="D144" s="19">
        <f aca="true" t="shared" si="47" ref="D144:D155">E144+F144+G144</f>
        <v>16396.1</v>
      </c>
      <c r="E144" s="8">
        <v>15814.4</v>
      </c>
      <c r="F144" s="8">
        <v>581.7</v>
      </c>
      <c r="G144" s="18"/>
      <c r="H144" s="19"/>
      <c r="I144" s="8"/>
      <c r="J144" s="8"/>
      <c r="K144" s="18"/>
      <c r="L144" s="39">
        <f aca="true" t="shared" si="48" ref="L144:L155">M144+N144+O144</f>
        <v>0</v>
      </c>
      <c r="M144" s="8"/>
      <c r="N144" s="8"/>
      <c r="O144" s="14"/>
      <c r="P144" s="145">
        <f aca="true" t="shared" si="49" ref="P144:P155">Q144+R144+S144</f>
        <v>20808.8</v>
      </c>
      <c r="Q144" s="146">
        <v>20227.1</v>
      </c>
      <c r="R144" s="146">
        <v>581.7</v>
      </c>
      <c r="S144" s="172"/>
      <c r="T144" s="179"/>
      <c r="U144" s="168"/>
      <c r="V144" s="169"/>
      <c r="W144" s="190"/>
    </row>
    <row r="145" spans="1:23" ht="12.75">
      <c r="A145" s="47" t="s">
        <v>11</v>
      </c>
      <c r="B145" s="78">
        <v>43</v>
      </c>
      <c r="C145" s="75">
        <v>3</v>
      </c>
      <c r="D145" s="19">
        <f t="shared" si="47"/>
        <v>113.3</v>
      </c>
      <c r="E145" s="8">
        <v>113.3</v>
      </c>
      <c r="F145" s="8"/>
      <c r="G145" s="18"/>
      <c r="H145" s="19"/>
      <c r="I145" s="8"/>
      <c r="J145" s="8"/>
      <c r="K145" s="18"/>
      <c r="L145" s="39">
        <f t="shared" si="48"/>
        <v>0</v>
      </c>
      <c r="M145" s="8"/>
      <c r="N145" s="8"/>
      <c r="O145" s="14"/>
      <c r="P145" s="145">
        <f t="shared" si="49"/>
        <v>130.3</v>
      </c>
      <c r="Q145" s="146">
        <v>130.3</v>
      </c>
      <c r="R145" s="146"/>
      <c r="S145" s="172"/>
      <c r="T145" s="179"/>
      <c r="U145" s="168"/>
      <c r="V145" s="169"/>
      <c r="W145" s="190"/>
    </row>
    <row r="146" spans="1:23" ht="25.5">
      <c r="A146" s="47" t="s">
        <v>12</v>
      </c>
      <c r="B146" s="78">
        <v>43</v>
      </c>
      <c r="C146" s="75">
        <v>5</v>
      </c>
      <c r="D146" s="19">
        <f t="shared" si="47"/>
        <v>8312.3</v>
      </c>
      <c r="E146" s="8">
        <v>8312.3</v>
      </c>
      <c r="F146" s="8"/>
      <c r="G146" s="18"/>
      <c r="H146" s="19"/>
      <c r="I146" s="8"/>
      <c r="J146" s="8"/>
      <c r="K146" s="18"/>
      <c r="L146" s="39">
        <f t="shared" si="48"/>
        <v>0</v>
      </c>
      <c r="M146" s="8"/>
      <c r="N146" s="8"/>
      <c r="O146" s="14"/>
      <c r="P146" s="145">
        <f t="shared" si="49"/>
        <v>10323</v>
      </c>
      <c r="Q146" s="146">
        <v>10323</v>
      </c>
      <c r="R146" s="146"/>
      <c r="S146" s="172"/>
      <c r="T146" s="179"/>
      <c r="U146" s="168"/>
      <c r="V146" s="169"/>
      <c r="W146" s="190"/>
    </row>
    <row r="147" spans="1:23" ht="12.75">
      <c r="A147" s="47" t="s">
        <v>13</v>
      </c>
      <c r="B147" s="78">
        <v>43</v>
      </c>
      <c r="C147" s="75">
        <v>6</v>
      </c>
      <c r="D147" s="19">
        <f t="shared" si="47"/>
        <v>167913.4</v>
      </c>
      <c r="E147" s="8">
        <f>166225.8+1362</f>
        <v>167587.8</v>
      </c>
      <c r="F147" s="8">
        <v>325.6</v>
      </c>
      <c r="G147" s="18"/>
      <c r="H147" s="19"/>
      <c r="I147" s="8"/>
      <c r="J147" s="8"/>
      <c r="K147" s="18"/>
      <c r="L147" s="39">
        <f t="shared" si="48"/>
        <v>0</v>
      </c>
      <c r="M147" s="8"/>
      <c r="N147" s="8"/>
      <c r="O147" s="14"/>
      <c r="P147" s="145">
        <f t="shared" si="49"/>
        <v>175980.5</v>
      </c>
      <c r="Q147" s="146">
        <f>175980.5-325.6</f>
        <v>175654.9</v>
      </c>
      <c r="R147" s="146">
        <v>325.6</v>
      </c>
      <c r="S147" s="172"/>
      <c r="T147" s="179"/>
      <c r="U147" s="168"/>
      <c r="V147" s="169"/>
      <c r="W147" s="190"/>
    </row>
    <row r="148" spans="1:23" ht="25.5">
      <c r="A148" s="47" t="s">
        <v>14</v>
      </c>
      <c r="B148" s="78">
        <v>43</v>
      </c>
      <c r="C148" s="75">
        <v>8</v>
      </c>
      <c r="D148" s="19">
        <f t="shared" si="47"/>
        <v>11085.300000000001</v>
      </c>
      <c r="E148" s="8">
        <f>10197.7+663.2</f>
        <v>10860.900000000001</v>
      </c>
      <c r="F148" s="8">
        <v>224.4</v>
      </c>
      <c r="G148" s="18"/>
      <c r="H148" s="19"/>
      <c r="I148" s="8"/>
      <c r="J148" s="8"/>
      <c r="K148" s="18"/>
      <c r="L148" s="39">
        <f t="shared" si="48"/>
        <v>0</v>
      </c>
      <c r="M148" s="8"/>
      <c r="N148" s="8"/>
      <c r="O148" s="14"/>
      <c r="P148" s="145">
        <f t="shared" si="49"/>
        <v>12633.1</v>
      </c>
      <c r="Q148" s="146">
        <f>12633.1-224.4</f>
        <v>12408.7</v>
      </c>
      <c r="R148" s="146">
        <v>224.4</v>
      </c>
      <c r="S148" s="172"/>
      <c r="T148" s="179"/>
      <c r="U148" s="168"/>
      <c r="V148" s="169"/>
      <c r="W148" s="190"/>
    </row>
    <row r="149" spans="1:23" ht="12.75">
      <c r="A149" s="47" t="s">
        <v>15</v>
      </c>
      <c r="B149" s="78">
        <v>43</v>
      </c>
      <c r="C149" s="75">
        <v>9</v>
      </c>
      <c r="D149" s="19">
        <f t="shared" si="47"/>
        <v>373.1</v>
      </c>
      <c r="E149" s="8">
        <v>373.1</v>
      </c>
      <c r="F149" s="8"/>
      <c r="G149" s="18"/>
      <c r="H149" s="19"/>
      <c r="I149" s="8"/>
      <c r="J149" s="8"/>
      <c r="K149" s="18"/>
      <c r="L149" s="39">
        <f t="shared" si="48"/>
        <v>0</v>
      </c>
      <c r="M149" s="8"/>
      <c r="N149" s="8"/>
      <c r="O149" s="14"/>
      <c r="P149" s="145">
        <f t="shared" si="49"/>
        <v>473.9</v>
      </c>
      <c r="Q149" s="146">
        <v>473.9</v>
      </c>
      <c r="R149" s="146"/>
      <c r="S149" s="172"/>
      <c r="T149" s="179"/>
      <c r="U149" s="168"/>
      <c r="V149" s="169"/>
      <c r="W149" s="190"/>
    </row>
    <row r="150" spans="1:23" ht="12.75">
      <c r="A150" s="47" t="s">
        <v>16</v>
      </c>
      <c r="B150" s="78">
        <v>43</v>
      </c>
      <c r="C150" s="75">
        <v>10</v>
      </c>
      <c r="D150" s="19">
        <f t="shared" si="47"/>
        <v>5287.2</v>
      </c>
      <c r="E150" s="8">
        <f>4352.2+663.2+47.7</f>
        <v>5063.099999999999</v>
      </c>
      <c r="F150" s="8"/>
      <c r="G150" s="18">
        <v>224.1</v>
      </c>
      <c r="H150" s="19"/>
      <c r="I150" s="8"/>
      <c r="J150" s="8"/>
      <c r="K150" s="18"/>
      <c r="L150" s="39">
        <f t="shared" si="48"/>
        <v>0</v>
      </c>
      <c r="M150" s="8"/>
      <c r="N150" s="8"/>
      <c r="O150" s="14"/>
      <c r="P150" s="145">
        <f t="shared" si="49"/>
        <v>6084.3</v>
      </c>
      <c r="Q150" s="146">
        <f>5017.7+842.5</f>
        <v>5860.2</v>
      </c>
      <c r="R150" s="146"/>
      <c r="S150" s="172">
        <v>224.1</v>
      </c>
      <c r="T150" s="179"/>
      <c r="U150" s="168"/>
      <c r="V150" s="169"/>
      <c r="W150" s="190"/>
    </row>
    <row r="151" spans="1:23" ht="25.5">
      <c r="A151" s="47" t="s">
        <v>17</v>
      </c>
      <c r="B151" s="78">
        <v>43</v>
      </c>
      <c r="C151" s="75">
        <v>11</v>
      </c>
      <c r="D151" s="19">
        <f t="shared" si="47"/>
        <v>1198</v>
      </c>
      <c r="E151" s="8">
        <v>1198</v>
      </c>
      <c r="F151" s="8"/>
      <c r="G151" s="18"/>
      <c r="H151" s="19"/>
      <c r="I151" s="8"/>
      <c r="J151" s="8"/>
      <c r="K151" s="18"/>
      <c r="L151" s="39">
        <f t="shared" si="48"/>
        <v>0</v>
      </c>
      <c r="M151" s="8"/>
      <c r="N151" s="8"/>
      <c r="O151" s="14"/>
      <c r="P151" s="145">
        <f t="shared" si="49"/>
        <v>1545.3</v>
      </c>
      <c r="Q151" s="146">
        <v>1545.3</v>
      </c>
      <c r="R151" s="146"/>
      <c r="S151" s="172"/>
      <c r="T151" s="179"/>
      <c r="U151" s="168"/>
      <c r="V151" s="169"/>
      <c r="W151" s="190"/>
    </row>
    <row r="152" spans="1:23" ht="12.75">
      <c r="A152" s="47" t="s">
        <v>19</v>
      </c>
      <c r="B152" s="78">
        <v>43</v>
      </c>
      <c r="C152" s="75">
        <v>13</v>
      </c>
      <c r="D152" s="19">
        <f t="shared" si="47"/>
        <v>600.4</v>
      </c>
      <c r="E152" s="8">
        <v>600.4</v>
      </c>
      <c r="F152" s="8"/>
      <c r="G152" s="18"/>
      <c r="H152" s="19"/>
      <c r="I152" s="8"/>
      <c r="J152" s="8"/>
      <c r="K152" s="18"/>
      <c r="L152" s="39">
        <f t="shared" si="48"/>
        <v>0</v>
      </c>
      <c r="M152" s="8"/>
      <c r="N152" s="8"/>
      <c r="O152" s="14"/>
      <c r="P152" s="145">
        <f t="shared" si="49"/>
        <v>802.1</v>
      </c>
      <c r="Q152" s="146">
        <v>802.1</v>
      </c>
      <c r="R152" s="146"/>
      <c r="S152" s="172"/>
      <c r="T152" s="179"/>
      <c r="U152" s="168"/>
      <c r="V152" s="169"/>
      <c r="W152" s="190"/>
    </row>
    <row r="153" spans="1:23" ht="25.5">
      <c r="A153" s="47" t="s">
        <v>27</v>
      </c>
      <c r="B153" s="78">
        <v>43</v>
      </c>
      <c r="C153" s="75">
        <v>15</v>
      </c>
      <c r="D153" s="19">
        <f t="shared" si="47"/>
        <v>0</v>
      </c>
      <c r="E153" s="8"/>
      <c r="F153" s="8"/>
      <c r="G153" s="18"/>
      <c r="H153" s="19"/>
      <c r="I153" s="8"/>
      <c r="J153" s="8"/>
      <c r="K153" s="18"/>
      <c r="L153" s="39">
        <f t="shared" si="48"/>
        <v>0</v>
      </c>
      <c r="M153" s="8"/>
      <c r="N153" s="8"/>
      <c r="O153" s="14"/>
      <c r="P153" s="145">
        <f t="shared" si="49"/>
        <v>0</v>
      </c>
      <c r="Q153" s="146"/>
      <c r="R153" s="146"/>
      <c r="S153" s="172"/>
      <c r="T153" s="179"/>
      <c r="U153" s="168"/>
      <c r="V153" s="169"/>
      <c r="W153" s="190"/>
    </row>
    <row r="154" spans="1:23" ht="25.5">
      <c r="A154" s="47" t="s">
        <v>22</v>
      </c>
      <c r="B154" s="78">
        <v>43</v>
      </c>
      <c r="C154" s="75">
        <v>19</v>
      </c>
      <c r="D154" s="19">
        <f t="shared" si="47"/>
        <v>251.5</v>
      </c>
      <c r="E154" s="8">
        <v>251.5</v>
      </c>
      <c r="F154" s="8"/>
      <c r="G154" s="18"/>
      <c r="H154" s="19"/>
      <c r="I154" s="8"/>
      <c r="J154" s="8"/>
      <c r="K154" s="18"/>
      <c r="L154" s="39">
        <f t="shared" si="48"/>
        <v>0</v>
      </c>
      <c r="M154" s="8"/>
      <c r="N154" s="8"/>
      <c r="O154" s="14"/>
      <c r="P154" s="145">
        <f t="shared" si="49"/>
        <v>329.9</v>
      </c>
      <c r="Q154" s="144">
        <v>329.9</v>
      </c>
      <c r="R154" s="146"/>
      <c r="S154" s="172"/>
      <c r="T154" s="179"/>
      <c r="U154" s="168"/>
      <c r="V154" s="169"/>
      <c r="W154" s="190"/>
    </row>
    <row r="155" spans="1:23" ht="25.5">
      <c r="A155" s="47" t="s">
        <v>23</v>
      </c>
      <c r="B155" s="78">
        <v>43</v>
      </c>
      <c r="C155" s="75">
        <v>20</v>
      </c>
      <c r="D155" s="19">
        <f t="shared" si="47"/>
        <v>2108</v>
      </c>
      <c r="E155" s="9">
        <f>1957.6+807.7-657.3</f>
        <v>2108</v>
      </c>
      <c r="F155" s="9"/>
      <c r="G155" s="18"/>
      <c r="H155" s="19"/>
      <c r="I155" s="9"/>
      <c r="J155" s="9"/>
      <c r="K155" s="18"/>
      <c r="L155" s="39">
        <f t="shared" si="48"/>
        <v>0</v>
      </c>
      <c r="M155" s="8"/>
      <c r="N155" s="9"/>
      <c r="O155" s="14"/>
      <c r="P155" s="145">
        <f t="shared" si="49"/>
        <v>2429.5</v>
      </c>
      <c r="Q155" s="146">
        <v>2429.5</v>
      </c>
      <c r="R155" s="146"/>
      <c r="S155" s="172"/>
      <c r="T155" s="181"/>
      <c r="U155" s="168"/>
      <c r="V155" s="169"/>
      <c r="W155" s="188"/>
    </row>
    <row r="156" spans="1:23" s="12" customFormat="1" ht="15">
      <c r="A156" s="45" t="s">
        <v>35</v>
      </c>
      <c r="B156" s="70">
        <v>44</v>
      </c>
      <c r="C156" s="79"/>
      <c r="D156" s="33"/>
      <c r="E156" s="11"/>
      <c r="F156" s="11"/>
      <c r="G156" s="31"/>
      <c r="H156" s="33"/>
      <c r="I156" s="11"/>
      <c r="J156" s="11"/>
      <c r="K156" s="31"/>
      <c r="L156" s="40"/>
      <c r="M156" s="11"/>
      <c r="N156" s="11"/>
      <c r="O156" s="35"/>
      <c r="P156" s="40"/>
      <c r="Q156" s="11"/>
      <c r="R156" s="11"/>
      <c r="S156" s="35"/>
      <c r="T156" s="178"/>
      <c r="U156" s="167"/>
      <c r="V156" s="163"/>
      <c r="W156" s="187"/>
    </row>
    <row r="157" spans="1:23" s="6" customFormat="1" ht="12.75">
      <c r="A157" s="46" t="s">
        <v>8</v>
      </c>
      <c r="B157" s="77">
        <v>44</v>
      </c>
      <c r="C157" s="73" t="s">
        <v>9</v>
      </c>
      <c r="D157" s="17">
        <f>SUM(D158:D168)</f>
        <v>72132.19999999998</v>
      </c>
      <c r="E157" s="5">
        <f>SUM(E158:E168)</f>
        <v>72132.19999999998</v>
      </c>
      <c r="F157" s="5">
        <f>SUM(F158:F168)</f>
        <v>0</v>
      </c>
      <c r="G157" s="16">
        <f>SUM(G158:G168)</f>
        <v>0</v>
      </c>
      <c r="H157" s="17">
        <f aca="true" t="shared" si="50" ref="H157:O157">SUM(H158:H168)</f>
        <v>0</v>
      </c>
      <c r="I157" s="5">
        <f t="shared" si="50"/>
        <v>0</v>
      </c>
      <c r="J157" s="5">
        <f t="shared" si="50"/>
        <v>0</v>
      </c>
      <c r="K157" s="16">
        <f t="shared" si="50"/>
        <v>0</v>
      </c>
      <c r="L157" s="38">
        <f t="shared" si="50"/>
        <v>81623.90000000001</v>
      </c>
      <c r="M157" s="5">
        <f t="shared" si="50"/>
        <v>81245.3</v>
      </c>
      <c r="N157" s="5">
        <f t="shared" si="50"/>
        <v>378.6</v>
      </c>
      <c r="O157" s="13">
        <f t="shared" si="50"/>
        <v>0</v>
      </c>
      <c r="P157" s="143">
        <f>SUM(P158:P168)</f>
        <v>78976.9</v>
      </c>
      <c r="Q157" s="144">
        <f>SUM(Q158:Q168)</f>
        <v>78976.9</v>
      </c>
      <c r="R157" s="144">
        <f>SUM(R158:R168)</f>
        <v>0</v>
      </c>
      <c r="S157" s="171">
        <f>SUM(S158:S168)</f>
        <v>0</v>
      </c>
      <c r="T157" s="178"/>
      <c r="U157" s="167"/>
      <c r="V157" s="163"/>
      <c r="W157" s="187"/>
    </row>
    <row r="158" spans="1:23" ht="12.75">
      <c r="A158" s="47" t="s">
        <v>10</v>
      </c>
      <c r="B158" s="78">
        <v>44</v>
      </c>
      <c r="C158" s="75">
        <v>1</v>
      </c>
      <c r="D158" s="20">
        <f aca="true" t="shared" si="51" ref="D158:D168">E158+F158+G158</f>
        <v>6653.2</v>
      </c>
      <c r="E158" s="8">
        <v>6653.2</v>
      </c>
      <c r="F158" s="8"/>
      <c r="G158" s="18"/>
      <c r="H158" s="20"/>
      <c r="I158" s="8"/>
      <c r="J158" s="8"/>
      <c r="K158" s="18"/>
      <c r="L158" s="41">
        <f aca="true" t="shared" si="52" ref="L158:L168">M158+N158+O158</f>
        <v>8130.2</v>
      </c>
      <c r="M158" s="8">
        <v>8103.4</v>
      </c>
      <c r="N158" s="8">
        <v>26.8</v>
      </c>
      <c r="O158" s="14"/>
      <c r="P158" s="151">
        <f aca="true" t="shared" si="53" ref="P158:P168">Q158+R158+S158</f>
        <v>8717.7</v>
      </c>
      <c r="Q158" s="146">
        <v>8717.7</v>
      </c>
      <c r="R158" s="146">
        <v>0</v>
      </c>
      <c r="S158" s="172"/>
      <c r="T158" s="179"/>
      <c r="U158" s="168"/>
      <c r="V158" s="169"/>
      <c r="W158" s="190"/>
    </row>
    <row r="159" spans="1:23" ht="12.75">
      <c r="A159" s="47" t="s">
        <v>11</v>
      </c>
      <c r="B159" s="78">
        <v>44</v>
      </c>
      <c r="C159" s="75">
        <v>3</v>
      </c>
      <c r="D159" s="20">
        <f t="shared" si="51"/>
        <v>3.4</v>
      </c>
      <c r="E159" s="8">
        <v>3.4</v>
      </c>
      <c r="F159" s="8"/>
      <c r="G159" s="18"/>
      <c r="H159" s="20"/>
      <c r="I159" s="8"/>
      <c r="J159" s="8"/>
      <c r="K159" s="18"/>
      <c r="L159" s="41">
        <f t="shared" si="52"/>
        <v>0</v>
      </c>
      <c r="M159" s="8"/>
      <c r="N159" s="8"/>
      <c r="O159" s="14"/>
      <c r="P159" s="151">
        <f t="shared" si="53"/>
        <v>0</v>
      </c>
      <c r="Q159" s="146"/>
      <c r="R159" s="146"/>
      <c r="S159" s="172"/>
      <c r="T159" s="179"/>
      <c r="U159" s="168"/>
      <c r="V159" s="169"/>
      <c r="W159" s="190"/>
    </row>
    <row r="160" spans="1:23" ht="25.5">
      <c r="A160" s="47" t="s">
        <v>12</v>
      </c>
      <c r="B160" s="78">
        <v>44</v>
      </c>
      <c r="C160" s="75">
        <v>5</v>
      </c>
      <c r="D160" s="20">
        <f t="shared" si="51"/>
        <v>2340</v>
      </c>
      <c r="E160" s="8">
        <v>2340</v>
      </c>
      <c r="F160" s="8"/>
      <c r="G160" s="18"/>
      <c r="H160" s="20"/>
      <c r="I160" s="8"/>
      <c r="J160" s="8"/>
      <c r="K160" s="18"/>
      <c r="L160" s="41">
        <f t="shared" si="52"/>
        <v>2839.4</v>
      </c>
      <c r="M160" s="8">
        <v>2839.4</v>
      </c>
      <c r="N160" s="8"/>
      <c r="O160" s="14"/>
      <c r="P160" s="151">
        <f t="shared" si="53"/>
        <v>2777.4</v>
      </c>
      <c r="Q160" s="146">
        <v>2777.4</v>
      </c>
      <c r="R160" s="146"/>
      <c r="S160" s="172"/>
      <c r="T160" s="179"/>
      <c r="U160" s="168"/>
      <c r="V160" s="169"/>
      <c r="W160" s="190"/>
    </row>
    <row r="161" spans="1:23" ht="12.75">
      <c r="A161" s="47" t="s">
        <v>13</v>
      </c>
      <c r="B161" s="78">
        <v>44</v>
      </c>
      <c r="C161" s="75">
        <v>6</v>
      </c>
      <c r="D161" s="19">
        <f t="shared" si="51"/>
        <v>55287.299999999996</v>
      </c>
      <c r="E161" s="8">
        <f>54846.7+440.6</f>
        <v>55287.299999999996</v>
      </c>
      <c r="F161" s="8"/>
      <c r="G161" s="18"/>
      <c r="H161" s="19"/>
      <c r="I161" s="8"/>
      <c r="J161" s="8"/>
      <c r="K161" s="18"/>
      <c r="L161" s="39">
        <f t="shared" si="52"/>
        <v>58933</v>
      </c>
      <c r="M161" s="8">
        <v>58933</v>
      </c>
      <c r="N161" s="8"/>
      <c r="O161" s="14"/>
      <c r="P161" s="145">
        <f t="shared" si="53"/>
        <v>58273.1</v>
      </c>
      <c r="Q161" s="146">
        <f>58273.1-0</f>
        <v>58273.1</v>
      </c>
      <c r="R161" s="146"/>
      <c r="S161" s="172"/>
      <c r="T161" s="179"/>
      <c r="U161" s="168"/>
      <c r="V161" s="169"/>
      <c r="W161" s="190"/>
    </row>
    <row r="162" spans="1:23" ht="25.5">
      <c r="A162" s="47" t="s">
        <v>14</v>
      </c>
      <c r="B162" s="78">
        <v>44</v>
      </c>
      <c r="C162" s="75">
        <v>8</v>
      </c>
      <c r="D162" s="20">
        <f t="shared" si="51"/>
        <v>3141.1</v>
      </c>
      <c r="E162" s="8">
        <f>3016.7+124.4</f>
        <v>3141.1</v>
      </c>
      <c r="F162" s="8"/>
      <c r="G162" s="18"/>
      <c r="H162" s="20"/>
      <c r="I162" s="8"/>
      <c r="J162" s="8"/>
      <c r="K162" s="18"/>
      <c r="L162" s="41">
        <f t="shared" si="52"/>
        <v>5058.1</v>
      </c>
      <c r="M162" s="8">
        <v>5058.1</v>
      </c>
      <c r="N162" s="8"/>
      <c r="O162" s="14"/>
      <c r="P162" s="151">
        <f t="shared" si="53"/>
        <v>3739.8</v>
      </c>
      <c r="Q162" s="146">
        <v>3739.8</v>
      </c>
      <c r="R162" s="146"/>
      <c r="S162" s="172"/>
      <c r="T162" s="179"/>
      <c r="U162" s="168"/>
      <c r="V162" s="169"/>
      <c r="W162" s="190"/>
    </row>
    <row r="163" spans="1:23" ht="12.75">
      <c r="A163" s="47" t="s">
        <v>16</v>
      </c>
      <c r="B163" s="78">
        <v>44</v>
      </c>
      <c r="C163" s="75">
        <v>10</v>
      </c>
      <c r="D163" s="20">
        <f t="shared" si="51"/>
        <v>2524.3999999999996</v>
      </c>
      <c r="E163" s="8">
        <f>2145.1+331.6+47.7</f>
        <v>2524.3999999999996</v>
      </c>
      <c r="F163" s="8"/>
      <c r="G163" s="18"/>
      <c r="H163" s="20"/>
      <c r="I163" s="8"/>
      <c r="J163" s="8"/>
      <c r="K163" s="18"/>
      <c r="L163" s="41">
        <f t="shared" si="52"/>
        <v>3034.4</v>
      </c>
      <c r="M163" s="8">
        <v>3034.4</v>
      </c>
      <c r="N163" s="8"/>
      <c r="O163" s="14"/>
      <c r="P163" s="151">
        <f t="shared" si="53"/>
        <v>2962.5</v>
      </c>
      <c r="Q163" s="146">
        <f>2541.2+421.3</f>
        <v>2962.5</v>
      </c>
      <c r="R163" s="146"/>
      <c r="S163" s="172"/>
      <c r="T163" s="179"/>
      <c r="U163" s="168"/>
      <c r="V163" s="169"/>
      <c r="W163" s="190"/>
    </row>
    <row r="164" spans="1:23" ht="25.5">
      <c r="A164" s="47" t="s">
        <v>17</v>
      </c>
      <c r="B164" s="78">
        <v>44</v>
      </c>
      <c r="C164" s="75">
        <v>11</v>
      </c>
      <c r="D164" s="20">
        <f t="shared" si="51"/>
        <v>231.9</v>
      </c>
      <c r="E164" s="8">
        <v>231.9</v>
      </c>
      <c r="F164" s="8"/>
      <c r="G164" s="18"/>
      <c r="H164" s="20"/>
      <c r="I164" s="8"/>
      <c r="J164" s="8"/>
      <c r="K164" s="18"/>
      <c r="L164" s="41">
        <f t="shared" si="52"/>
        <v>296.2</v>
      </c>
      <c r="M164" s="8">
        <v>296.2</v>
      </c>
      <c r="N164" s="8"/>
      <c r="O164" s="14"/>
      <c r="P164" s="151">
        <f t="shared" si="53"/>
        <v>299.1</v>
      </c>
      <c r="Q164" s="146">
        <v>299.1</v>
      </c>
      <c r="R164" s="146"/>
      <c r="S164" s="172"/>
      <c r="T164" s="179"/>
      <c r="U164" s="168"/>
      <c r="V164" s="169"/>
      <c r="W164" s="190"/>
    </row>
    <row r="165" spans="1:23" ht="12.75">
      <c r="A165" s="47" t="s">
        <v>19</v>
      </c>
      <c r="B165" s="78">
        <v>44</v>
      </c>
      <c r="C165" s="75">
        <v>13</v>
      </c>
      <c r="D165" s="20">
        <f t="shared" si="51"/>
        <v>133.4</v>
      </c>
      <c r="E165" s="8">
        <v>133.4</v>
      </c>
      <c r="F165" s="8"/>
      <c r="G165" s="18"/>
      <c r="H165" s="20"/>
      <c r="I165" s="8"/>
      <c r="J165" s="8"/>
      <c r="K165" s="18"/>
      <c r="L165" s="41">
        <f t="shared" si="52"/>
        <v>219.1</v>
      </c>
      <c r="M165" s="8">
        <v>219.1</v>
      </c>
      <c r="N165" s="8"/>
      <c r="O165" s="14"/>
      <c r="P165" s="151">
        <f t="shared" si="53"/>
        <v>178.2</v>
      </c>
      <c r="Q165" s="146">
        <v>178.2</v>
      </c>
      <c r="R165" s="146"/>
      <c r="S165" s="172"/>
      <c r="T165" s="179"/>
      <c r="U165" s="168"/>
      <c r="V165" s="169"/>
      <c r="W165" s="190"/>
    </row>
    <row r="166" spans="1:23" ht="25.5">
      <c r="A166" s="47" t="s">
        <v>27</v>
      </c>
      <c r="B166" s="78">
        <v>44</v>
      </c>
      <c r="C166" s="75">
        <v>15</v>
      </c>
      <c r="D166" s="20">
        <f t="shared" si="51"/>
        <v>0</v>
      </c>
      <c r="E166" s="8"/>
      <c r="F166" s="8"/>
      <c r="G166" s="18"/>
      <c r="H166" s="20"/>
      <c r="I166" s="8"/>
      <c r="J166" s="8"/>
      <c r="K166" s="18"/>
      <c r="L166" s="41">
        <f t="shared" si="52"/>
        <v>216</v>
      </c>
      <c r="M166" s="8">
        <v>106.2</v>
      </c>
      <c r="N166" s="8">
        <v>109.8</v>
      </c>
      <c r="O166" s="14"/>
      <c r="P166" s="151">
        <f t="shared" si="53"/>
        <v>0</v>
      </c>
      <c r="Q166" s="146">
        <v>0</v>
      </c>
      <c r="R166" s="146">
        <v>0</v>
      </c>
      <c r="S166" s="172"/>
      <c r="T166" s="179"/>
      <c r="U166" s="168"/>
      <c r="V166" s="169"/>
      <c r="W166" s="190"/>
    </row>
    <row r="167" spans="1:23" ht="25.5">
      <c r="A167" s="47" t="s">
        <v>22</v>
      </c>
      <c r="B167" s="78">
        <v>44</v>
      </c>
      <c r="C167" s="75">
        <v>19</v>
      </c>
      <c r="D167" s="20">
        <f t="shared" si="51"/>
        <v>53.9</v>
      </c>
      <c r="E167" s="8">
        <v>53.9</v>
      </c>
      <c r="F167" s="8"/>
      <c r="G167" s="18"/>
      <c r="H167" s="20"/>
      <c r="I167" s="8"/>
      <c r="J167" s="8"/>
      <c r="K167" s="18"/>
      <c r="L167" s="41">
        <f t="shared" si="52"/>
        <v>79.2</v>
      </c>
      <c r="M167" s="8">
        <v>79.2</v>
      </c>
      <c r="N167" s="8"/>
      <c r="O167" s="14"/>
      <c r="P167" s="151">
        <f t="shared" si="53"/>
        <v>70.7</v>
      </c>
      <c r="Q167" s="146">
        <v>70.7</v>
      </c>
      <c r="R167" s="146"/>
      <c r="S167" s="172"/>
      <c r="T167" s="179"/>
      <c r="U167" s="168"/>
      <c r="V167" s="169"/>
      <c r="W167" s="190"/>
    </row>
    <row r="168" spans="1:23" ht="25.5">
      <c r="A168" s="47" t="s">
        <v>23</v>
      </c>
      <c r="B168" s="78">
        <v>44</v>
      </c>
      <c r="C168" s="75">
        <v>20</v>
      </c>
      <c r="D168" s="20">
        <f t="shared" si="51"/>
        <v>1763.6</v>
      </c>
      <c r="E168" s="8">
        <f>1578+651.1-465.5</f>
        <v>1763.6</v>
      </c>
      <c r="F168" s="8"/>
      <c r="G168" s="18"/>
      <c r="H168" s="20"/>
      <c r="I168" s="8"/>
      <c r="J168" s="8"/>
      <c r="K168" s="18"/>
      <c r="L168" s="41">
        <f t="shared" si="52"/>
        <v>2818.3</v>
      </c>
      <c r="M168" s="8">
        <v>2576.3</v>
      </c>
      <c r="N168" s="8">
        <v>242</v>
      </c>
      <c r="O168" s="14"/>
      <c r="P168" s="151">
        <f t="shared" si="53"/>
        <v>1958.4</v>
      </c>
      <c r="Q168" s="146">
        <v>1958.4</v>
      </c>
      <c r="R168" s="146"/>
      <c r="S168" s="172"/>
      <c r="T168" s="181"/>
      <c r="U168" s="168"/>
      <c r="V168" s="169"/>
      <c r="W168" s="188"/>
    </row>
    <row r="169" spans="1:23" s="12" customFormat="1" ht="15">
      <c r="A169" s="45" t="s">
        <v>36</v>
      </c>
      <c r="B169" s="70">
        <v>48</v>
      </c>
      <c r="C169" s="79"/>
      <c r="D169" s="33"/>
      <c r="E169" s="11"/>
      <c r="F169" s="11"/>
      <c r="G169" s="31"/>
      <c r="H169" s="33"/>
      <c r="I169" s="11"/>
      <c r="J169" s="11"/>
      <c r="K169" s="31"/>
      <c r="L169" s="40"/>
      <c r="M169" s="11"/>
      <c r="N169" s="11"/>
      <c r="O169" s="35"/>
      <c r="P169" s="40"/>
      <c r="Q169" s="11"/>
      <c r="R169" s="11"/>
      <c r="S169" s="35"/>
      <c r="T169" s="178"/>
      <c r="U169" s="167"/>
      <c r="V169" s="163"/>
      <c r="W169" s="187"/>
    </row>
    <row r="170" spans="1:23" s="6" customFormat="1" ht="12.75">
      <c r="A170" s="46" t="s">
        <v>8</v>
      </c>
      <c r="B170" s="77">
        <v>48</v>
      </c>
      <c r="C170" s="73" t="s">
        <v>9</v>
      </c>
      <c r="D170" s="17">
        <f>SUM(D171:D181)</f>
        <v>92352.69999999997</v>
      </c>
      <c r="E170" s="5">
        <f>SUM(E171:E181)</f>
        <v>92180.89999999998</v>
      </c>
      <c r="F170" s="5">
        <f>SUM(F171:F181)</f>
        <v>171.8</v>
      </c>
      <c r="G170" s="16">
        <f>SUM(G171:G181)</f>
        <v>0</v>
      </c>
      <c r="H170" s="17">
        <f aca="true" t="shared" si="54" ref="H170:O170">SUM(H171:H181)</f>
        <v>0</v>
      </c>
      <c r="I170" s="5">
        <f t="shared" si="54"/>
        <v>0</v>
      </c>
      <c r="J170" s="5">
        <f t="shared" si="54"/>
        <v>0</v>
      </c>
      <c r="K170" s="16">
        <f t="shared" si="54"/>
        <v>0</v>
      </c>
      <c r="L170" s="38">
        <f t="shared" si="54"/>
        <v>101703.1</v>
      </c>
      <c r="M170" s="5">
        <f t="shared" si="54"/>
        <v>101281.09999999999</v>
      </c>
      <c r="N170" s="5">
        <f t="shared" si="54"/>
        <v>422</v>
      </c>
      <c r="O170" s="13">
        <f t="shared" si="54"/>
        <v>0</v>
      </c>
      <c r="P170" s="143">
        <f>SUM(P171:P181)</f>
        <v>100695.70000000001</v>
      </c>
      <c r="Q170" s="144">
        <f>SUM(Q171:Q181)</f>
        <v>100523.90000000002</v>
      </c>
      <c r="R170" s="144">
        <f>SUM(R171:R181)</f>
        <v>171.8</v>
      </c>
      <c r="S170" s="171">
        <f>SUM(S171:S181)</f>
        <v>0</v>
      </c>
      <c r="T170" s="178"/>
      <c r="U170" s="167"/>
      <c r="V170" s="163"/>
      <c r="W170" s="187"/>
    </row>
    <row r="171" spans="1:23" ht="12.75">
      <c r="A171" s="47" t="s">
        <v>10</v>
      </c>
      <c r="B171" s="78">
        <v>48</v>
      </c>
      <c r="C171" s="75">
        <v>1</v>
      </c>
      <c r="D171" s="19">
        <f aca="true" t="shared" si="55" ref="D171:D181">E171+F171+G171</f>
        <v>7544.4</v>
      </c>
      <c r="E171" s="8">
        <v>7544.4</v>
      </c>
      <c r="F171" s="8"/>
      <c r="G171" s="18"/>
      <c r="H171" s="19"/>
      <c r="I171" s="8"/>
      <c r="J171" s="8"/>
      <c r="K171" s="18"/>
      <c r="L171" s="39">
        <f aca="true" t="shared" si="56" ref="L171:L181">M171+N171+O171</f>
        <v>9026.5</v>
      </c>
      <c r="M171" s="8">
        <v>8914.1</v>
      </c>
      <c r="N171" s="8">
        <v>112.4</v>
      </c>
      <c r="O171" s="14"/>
      <c r="P171" s="145">
        <f aca="true" t="shared" si="57" ref="P171:P181">Q171+R171+S171</f>
        <v>9481.5</v>
      </c>
      <c r="Q171" s="146">
        <v>9481.5</v>
      </c>
      <c r="R171" s="146"/>
      <c r="S171" s="172"/>
      <c r="T171" s="179"/>
      <c r="U171" s="168"/>
      <c r="V171" s="169"/>
      <c r="W171" s="190"/>
    </row>
    <row r="172" spans="1:23" ht="12.75">
      <c r="A172" s="47" t="s">
        <v>11</v>
      </c>
      <c r="B172" s="78">
        <v>48</v>
      </c>
      <c r="C172" s="75">
        <v>3</v>
      </c>
      <c r="D172" s="19">
        <f t="shared" si="55"/>
        <v>5.9</v>
      </c>
      <c r="E172" s="8">
        <v>5.9</v>
      </c>
      <c r="F172" s="8"/>
      <c r="G172" s="18"/>
      <c r="H172" s="19"/>
      <c r="I172" s="8"/>
      <c r="J172" s="8"/>
      <c r="K172" s="18"/>
      <c r="L172" s="39">
        <f t="shared" si="56"/>
        <v>6.7</v>
      </c>
      <c r="M172" s="8">
        <v>6.7</v>
      </c>
      <c r="N172" s="8"/>
      <c r="O172" s="14"/>
      <c r="P172" s="145">
        <f t="shared" si="57"/>
        <v>7.3</v>
      </c>
      <c r="Q172" s="146">
        <v>7.3</v>
      </c>
      <c r="R172" s="146"/>
      <c r="S172" s="172"/>
      <c r="T172" s="179"/>
      <c r="U172" s="168"/>
      <c r="V172" s="169"/>
      <c r="W172" s="190"/>
    </row>
    <row r="173" spans="1:23" ht="25.5">
      <c r="A173" s="47" t="s">
        <v>12</v>
      </c>
      <c r="B173" s="78">
        <v>48</v>
      </c>
      <c r="C173" s="75">
        <v>5</v>
      </c>
      <c r="D173" s="19">
        <f t="shared" si="55"/>
        <v>3048</v>
      </c>
      <c r="E173" s="8">
        <v>3048</v>
      </c>
      <c r="F173" s="8"/>
      <c r="G173" s="18"/>
      <c r="H173" s="19"/>
      <c r="I173" s="8"/>
      <c r="J173" s="8"/>
      <c r="K173" s="18"/>
      <c r="L173" s="39">
        <f t="shared" si="56"/>
        <v>3909.9</v>
      </c>
      <c r="M173" s="8">
        <v>3909.9</v>
      </c>
      <c r="N173" s="8"/>
      <c r="O173" s="14"/>
      <c r="P173" s="145">
        <f t="shared" si="57"/>
        <v>3671.3</v>
      </c>
      <c r="Q173" s="146">
        <v>3671.3</v>
      </c>
      <c r="R173" s="146"/>
      <c r="S173" s="172"/>
      <c r="T173" s="179"/>
      <c r="U173" s="168"/>
      <c r="V173" s="169"/>
      <c r="W173" s="190"/>
    </row>
    <row r="174" spans="1:23" ht="12.75">
      <c r="A174" s="47" t="s">
        <v>13</v>
      </c>
      <c r="B174" s="78">
        <v>48</v>
      </c>
      <c r="C174" s="75">
        <v>6</v>
      </c>
      <c r="D174" s="19">
        <f t="shared" si="55"/>
        <v>71881.7</v>
      </c>
      <c r="E174" s="8">
        <f>71279.2+440.6</f>
        <v>71719.8</v>
      </c>
      <c r="F174" s="8">
        <v>161.9</v>
      </c>
      <c r="G174" s="18"/>
      <c r="H174" s="19"/>
      <c r="I174" s="8"/>
      <c r="J174" s="8"/>
      <c r="K174" s="18"/>
      <c r="L174" s="39">
        <f t="shared" si="56"/>
        <v>74282.3</v>
      </c>
      <c r="M174" s="8">
        <v>73972.7</v>
      </c>
      <c r="N174" s="8">
        <v>309.6</v>
      </c>
      <c r="O174" s="14"/>
      <c r="P174" s="145">
        <f t="shared" si="57"/>
        <v>75744.1</v>
      </c>
      <c r="Q174" s="146">
        <f>75744.1-161.9</f>
        <v>75582.20000000001</v>
      </c>
      <c r="R174" s="146">
        <v>161.9</v>
      </c>
      <c r="S174" s="172"/>
      <c r="T174" s="179"/>
      <c r="U174" s="168"/>
      <c r="V174" s="169"/>
      <c r="W174" s="190"/>
    </row>
    <row r="175" spans="1:23" ht="25.5">
      <c r="A175" s="47" t="s">
        <v>14</v>
      </c>
      <c r="B175" s="78">
        <v>48</v>
      </c>
      <c r="C175" s="75">
        <v>8</v>
      </c>
      <c r="D175" s="19">
        <f t="shared" si="55"/>
        <v>4457.699999999999</v>
      </c>
      <c r="E175" s="8">
        <f>4323.4+124.4</f>
        <v>4447.799999999999</v>
      </c>
      <c r="F175" s="8">
        <v>9.9</v>
      </c>
      <c r="G175" s="18"/>
      <c r="H175" s="19"/>
      <c r="I175" s="8"/>
      <c r="J175" s="8"/>
      <c r="K175" s="18"/>
      <c r="L175" s="39">
        <f t="shared" si="56"/>
        <v>7932.1</v>
      </c>
      <c r="M175" s="8">
        <v>7932.1</v>
      </c>
      <c r="N175" s="8"/>
      <c r="O175" s="14"/>
      <c r="P175" s="145">
        <f t="shared" si="57"/>
        <v>5182.2</v>
      </c>
      <c r="Q175" s="146">
        <f>5182.2-9.9</f>
        <v>5172.3</v>
      </c>
      <c r="R175" s="146">
        <v>9.9</v>
      </c>
      <c r="S175" s="172"/>
      <c r="T175" s="179"/>
      <c r="U175" s="168"/>
      <c r="V175" s="169"/>
      <c r="W175" s="190"/>
    </row>
    <row r="176" spans="1:23" ht="12.75">
      <c r="A176" s="47" t="s">
        <v>16</v>
      </c>
      <c r="B176" s="78">
        <v>48</v>
      </c>
      <c r="C176" s="75">
        <v>10</v>
      </c>
      <c r="D176" s="19">
        <f t="shared" si="55"/>
        <v>3199.2</v>
      </c>
      <c r="E176" s="8">
        <f>2843.7+331.6+23.9</f>
        <v>3199.2</v>
      </c>
      <c r="F176" s="8"/>
      <c r="G176" s="18"/>
      <c r="H176" s="19"/>
      <c r="I176" s="8"/>
      <c r="J176" s="8"/>
      <c r="K176" s="18"/>
      <c r="L176" s="39">
        <f t="shared" si="56"/>
        <v>3750.9</v>
      </c>
      <c r="M176" s="8">
        <v>3750.9</v>
      </c>
      <c r="N176" s="8"/>
      <c r="O176" s="14"/>
      <c r="P176" s="145">
        <f t="shared" si="57"/>
        <v>3697.2000000000003</v>
      </c>
      <c r="Q176" s="146">
        <f>3275.9+421.3</f>
        <v>3697.2000000000003</v>
      </c>
      <c r="R176" s="146"/>
      <c r="S176" s="172"/>
      <c r="T176" s="179"/>
      <c r="U176" s="168"/>
      <c r="V176" s="169"/>
      <c r="W176" s="190"/>
    </row>
    <row r="177" spans="1:23" ht="25.5">
      <c r="A177" s="47" t="s">
        <v>17</v>
      </c>
      <c r="B177" s="78">
        <v>48</v>
      </c>
      <c r="C177" s="75">
        <v>11</v>
      </c>
      <c r="D177" s="19">
        <f t="shared" si="55"/>
        <v>231.9</v>
      </c>
      <c r="E177" s="8">
        <v>231.9</v>
      </c>
      <c r="F177" s="8"/>
      <c r="G177" s="18"/>
      <c r="H177" s="19"/>
      <c r="I177" s="8"/>
      <c r="J177" s="8"/>
      <c r="K177" s="18"/>
      <c r="L177" s="39">
        <f t="shared" si="56"/>
        <v>408.4</v>
      </c>
      <c r="M177" s="8">
        <v>408.4</v>
      </c>
      <c r="N177" s="8"/>
      <c r="O177" s="14"/>
      <c r="P177" s="145">
        <f t="shared" si="57"/>
        <v>299.1</v>
      </c>
      <c r="Q177" s="146">
        <v>299.1</v>
      </c>
      <c r="R177" s="146"/>
      <c r="S177" s="172"/>
      <c r="T177" s="179"/>
      <c r="U177" s="168"/>
      <c r="V177" s="169"/>
      <c r="W177" s="190"/>
    </row>
    <row r="178" spans="1:23" ht="12.75">
      <c r="A178" s="47" t="s">
        <v>19</v>
      </c>
      <c r="B178" s="78">
        <v>48</v>
      </c>
      <c r="C178" s="75">
        <v>13</v>
      </c>
      <c r="D178" s="19">
        <f t="shared" si="55"/>
        <v>133.4</v>
      </c>
      <c r="E178" s="8">
        <v>133.4</v>
      </c>
      <c r="F178" s="8"/>
      <c r="G178" s="18"/>
      <c r="H178" s="19"/>
      <c r="I178" s="8"/>
      <c r="J178" s="8"/>
      <c r="K178" s="18"/>
      <c r="L178" s="39">
        <f t="shared" si="56"/>
        <v>348.7</v>
      </c>
      <c r="M178" s="8">
        <v>348.7</v>
      </c>
      <c r="N178" s="8"/>
      <c r="O178" s="14"/>
      <c r="P178" s="145">
        <f t="shared" si="57"/>
        <v>178.2</v>
      </c>
      <c r="Q178" s="146">
        <v>178.2</v>
      </c>
      <c r="R178" s="146"/>
      <c r="S178" s="172"/>
      <c r="T178" s="179"/>
      <c r="U178" s="168"/>
      <c r="V178" s="169"/>
      <c r="W178" s="190"/>
    </row>
    <row r="179" spans="1:23" ht="25.5">
      <c r="A179" s="47" t="s">
        <v>27</v>
      </c>
      <c r="B179" s="78">
        <v>48</v>
      </c>
      <c r="C179" s="75">
        <v>15</v>
      </c>
      <c r="D179" s="19">
        <f t="shared" si="55"/>
        <v>211.2</v>
      </c>
      <c r="E179" s="8">
        <v>211.2</v>
      </c>
      <c r="F179" s="8"/>
      <c r="G179" s="18"/>
      <c r="H179" s="19"/>
      <c r="I179" s="8"/>
      <c r="J179" s="8"/>
      <c r="K179" s="18"/>
      <c r="L179" s="39">
        <f t="shared" si="56"/>
        <v>251.1</v>
      </c>
      <c r="M179" s="8">
        <v>251.1</v>
      </c>
      <c r="N179" s="8"/>
      <c r="O179" s="14"/>
      <c r="P179" s="145">
        <f t="shared" si="57"/>
        <v>396.5</v>
      </c>
      <c r="Q179" s="146">
        <v>396.5</v>
      </c>
      <c r="R179" s="146"/>
      <c r="S179" s="172"/>
      <c r="T179" s="179"/>
      <c r="U179" s="168"/>
      <c r="V179" s="169"/>
      <c r="W179" s="190"/>
    </row>
    <row r="180" spans="1:23" ht="25.5">
      <c r="A180" s="47" t="s">
        <v>22</v>
      </c>
      <c r="B180" s="78">
        <v>48</v>
      </c>
      <c r="C180" s="75">
        <v>19</v>
      </c>
      <c r="D180" s="19">
        <f t="shared" si="55"/>
        <v>53.9</v>
      </c>
      <c r="E180" s="8">
        <v>53.9</v>
      </c>
      <c r="F180" s="8"/>
      <c r="G180" s="18"/>
      <c r="H180" s="19"/>
      <c r="I180" s="8"/>
      <c r="J180" s="8"/>
      <c r="K180" s="18"/>
      <c r="L180" s="39">
        <f t="shared" si="56"/>
        <v>0</v>
      </c>
      <c r="M180" s="8"/>
      <c r="N180" s="8"/>
      <c r="O180" s="14"/>
      <c r="P180" s="145">
        <f t="shared" si="57"/>
        <v>70.7</v>
      </c>
      <c r="Q180" s="146">
        <v>70.7</v>
      </c>
      <c r="R180" s="146"/>
      <c r="S180" s="172"/>
      <c r="T180" s="179"/>
      <c r="U180" s="168"/>
      <c r="V180" s="169"/>
      <c r="W180" s="190"/>
    </row>
    <row r="181" spans="1:23" ht="25.5">
      <c r="A181" s="47" t="s">
        <v>23</v>
      </c>
      <c r="B181" s="78">
        <v>48</v>
      </c>
      <c r="C181" s="75">
        <v>20</v>
      </c>
      <c r="D181" s="19">
        <f t="shared" si="55"/>
        <v>1585.4000000000003</v>
      </c>
      <c r="E181" s="8">
        <f>1585.4+654.2-654.2</f>
        <v>1585.4000000000003</v>
      </c>
      <c r="F181" s="8"/>
      <c r="G181" s="18"/>
      <c r="H181" s="19"/>
      <c r="I181" s="8"/>
      <c r="J181" s="8"/>
      <c r="K181" s="18"/>
      <c r="L181" s="39">
        <f t="shared" si="56"/>
        <v>1786.5</v>
      </c>
      <c r="M181" s="8">
        <v>1786.5</v>
      </c>
      <c r="N181" s="8"/>
      <c r="O181" s="14"/>
      <c r="P181" s="145">
        <f t="shared" si="57"/>
        <v>1967.6</v>
      </c>
      <c r="Q181" s="146">
        <v>1967.6</v>
      </c>
      <c r="R181" s="146"/>
      <c r="S181" s="172"/>
      <c r="T181" s="182"/>
      <c r="U181" s="168"/>
      <c r="V181" s="169"/>
      <c r="W181" s="188"/>
    </row>
    <row r="182" spans="1:23" s="12" customFormat="1" ht="15">
      <c r="A182" s="45" t="s">
        <v>37</v>
      </c>
      <c r="B182" s="70">
        <v>50</v>
      </c>
      <c r="C182" s="79"/>
      <c r="D182" s="33"/>
      <c r="E182" s="11"/>
      <c r="F182" s="11"/>
      <c r="G182" s="31"/>
      <c r="H182" s="33"/>
      <c r="I182" s="11"/>
      <c r="J182" s="11"/>
      <c r="K182" s="31"/>
      <c r="L182" s="40"/>
      <c r="M182" s="11"/>
      <c r="N182" s="11"/>
      <c r="O182" s="35"/>
      <c r="P182" s="40"/>
      <c r="Q182" s="11"/>
      <c r="R182" s="11"/>
      <c r="S182" s="35"/>
      <c r="T182" s="179"/>
      <c r="U182" s="167"/>
      <c r="V182" s="163"/>
      <c r="W182" s="187"/>
    </row>
    <row r="183" spans="1:23" s="6" customFormat="1" ht="12.75">
      <c r="A183" s="46" t="s">
        <v>8</v>
      </c>
      <c r="B183" s="77">
        <v>50</v>
      </c>
      <c r="C183" s="73" t="s">
        <v>9</v>
      </c>
      <c r="D183" s="17">
        <f>SUM(D184:D193)</f>
        <v>55671.8</v>
      </c>
      <c r="E183" s="5">
        <f>SUM(E184:E193)</f>
        <v>55517.4</v>
      </c>
      <c r="F183" s="5">
        <f>SUM(F184:F193)</f>
        <v>154.39999999999998</v>
      </c>
      <c r="G183" s="16">
        <f>SUM(G184:G193)</f>
        <v>0</v>
      </c>
      <c r="H183" s="17">
        <f aca="true" t="shared" si="58" ref="H183:O183">SUM(H184:H193)</f>
        <v>0</v>
      </c>
      <c r="I183" s="5">
        <f t="shared" si="58"/>
        <v>0</v>
      </c>
      <c r="J183" s="5">
        <f t="shared" si="58"/>
        <v>0</v>
      </c>
      <c r="K183" s="16">
        <f t="shared" si="58"/>
        <v>0</v>
      </c>
      <c r="L183" s="38">
        <f t="shared" si="58"/>
        <v>62031.90000000001</v>
      </c>
      <c r="M183" s="5">
        <f t="shared" si="58"/>
        <v>61951.799999999996</v>
      </c>
      <c r="N183" s="5">
        <f t="shared" si="58"/>
        <v>80.1</v>
      </c>
      <c r="O183" s="13">
        <f t="shared" si="58"/>
        <v>0</v>
      </c>
      <c r="P183" s="143">
        <f>SUM(P184:P193)</f>
        <v>61357</v>
      </c>
      <c r="Q183" s="144">
        <f>SUM(Q184:Q193)</f>
        <v>61202.600000000006</v>
      </c>
      <c r="R183" s="144">
        <f>SUM(R184:R193)</f>
        <v>154.39999999999998</v>
      </c>
      <c r="S183" s="171">
        <f>SUM(S184:S193)</f>
        <v>0</v>
      </c>
      <c r="T183" s="178"/>
      <c r="U183" s="167"/>
      <c r="V183" s="163"/>
      <c r="W183" s="187"/>
    </row>
    <row r="184" spans="1:23" ht="12.75">
      <c r="A184" s="47" t="s">
        <v>10</v>
      </c>
      <c r="B184" s="78">
        <v>50</v>
      </c>
      <c r="C184" s="75">
        <v>1</v>
      </c>
      <c r="D184" s="19">
        <f aca="true" t="shared" si="59" ref="D184:D190">E184+F184+G184</f>
        <v>6114.3</v>
      </c>
      <c r="E184" s="8">
        <v>6114.3</v>
      </c>
      <c r="F184" s="8"/>
      <c r="G184" s="18"/>
      <c r="H184" s="19"/>
      <c r="I184" s="8"/>
      <c r="J184" s="8"/>
      <c r="K184" s="18"/>
      <c r="L184" s="39">
        <f aca="true" t="shared" si="60" ref="L184:L190">M184+N184+O184</f>
        <v>7531.8</v>
      </c>
      <c r="M184" s="8">
        <v>7531.8</v>
      </c>
      <c r="N184" s="8"/>
      <c r="O184" s="14"/>
      <c r="P184" s="145">
        <f aca="true" t="shared" si="61" ref="P184:P190">Q184+R184+S184</f>
        <v>7822.2</v>
      </c>
      <c r="Q184" s="146">
        <v>7822.2</v>
      </c>
      <c r="R184" s="146"/>
      <c r="S184" s="172"/>
      <c r="T184" s="179"/>
      <c r="U184" s="168"/>
      <c r="V184" s="169"/>
      <c r="W184" s="190"/>
    </row>
    <row r="185" spans="1:23" ht="25.5">
      <c r="A185" s="47" t="s">
        <v>12</v>
      </c>
      <c r="B185" s="78">
        <v>50</v>
      </c>
      <c r="C185" s="75">
        <v>5</v>
      </c>
      <c r="D185" s="19">
        <f t="shared" si="59"/>
        <v>2492.2</v>
      </c>
      <c r="E185" s="8">
        <v>2492.2</v>
      </c>
      <c r="F185" s="8"/>
      <c r="G185" s="18"/>
      <c r="H185" s="19"/>
      <c r="I185" s="8"/>
      <c r="J185" s="8"/>
      <c r="K185" s="18"/>
      <c r="L185" s="39">
        <f t="shared" si="60"/>
        <v>2873.1</v>
      </c>
      <c r="M185" s="8">
        <v>2873.1</v>
      </c>
      <c r="N185" s="8"/>
      <c r="O185" s="14"/>
      <c r="P185" s="145">
        <f t="shared" si="61"/>
        <v>3041.5</v>
      </c>
      <c r="Q185" s="146">
        <v>3041.5</v>
      </c>
      <c r="R185" s="146"/>
      <c r="S185" s="172"/>
      <c r="T185" s="179"/>
      <c r="U185" s="168"/>
      <c r="V185" s="169"/>
      <c r="W185" s="190"/>
    </row>
    <row r="186" spans="1:23" ht="12.75">
      <c r="A186" s="47" t="s">
        <v>13</v>
      </c>
      <c r="B186" s="78">
        <v>50</v>
      </c>
      <c r="C186" s="75">
        <v>6</v>
      </c>
      <c r="D186" s="19">
        <f t="shared" si="59"/>
        <v>39832.799999999996</v>
      </c>
      <c r="E186" s="8">
        <f>39283.1+440.6</f>
        <v>39723.7</v>
      </c>
      <c r="F186" s="8">
        <v>109.1</v>
      </c>
      <c r="G186" s="18"/>
      <c r="H186" s="19"/>
      <c r="I186" s="8"/>
      <c r="J186" s="8"/>
      <c r="K186" s="18"/>
      <c r="L186" s="39">
        <f t="shared" si="60"/>
        <v>42216.4</v>
      </c>
      <c r="M186" s="8">
        <v>42208.1</v>
      </c>
      <c r="N186" s="8">
        <v>8.3</v>
      </c>
      <c r="O186" s="14"/>
      <c r="P186" s="145">
        <f t="shared" si="61"/>
        <v>41723</v>
      </c>
      <c r="Q186" s="146">
        <f>41723-109.1</f>
        <v>41613.9</v>
      </c>
      <c r="R186" s="146">
        <v>109.1</v>
      </c>
      <c r="S186" s="172"/>
      <c r="T186" s="179"/>
      <c r="U186" s="168"/>
      <c r="V186" s="169"/>
      <c r="W186" s="190"/>
    </row>
    <row r="187" spans="1:23" ht="25.5">
      <c r="A187" s="47" t="s">
        <v>14</v>
      </c>
      <c r="B187" s="78">
        <v>50</v>
      </c>
      <c r="C187" s="75">
        <v>8</v>
      </c>
      <c r="D187" s="19">
        <f t="shared" si="59"/>
        <v>2758.3</v>
      </c>
      <c r="E187" s="8">
        <f>2588.6+124.4</f>
        <v>2713</v>
      </c>
      <c r="F187" s="8">
        <v>45.3</v>
      </c>
      <c r="G187" s="18"/>
      <c r="H187" s="19"/>
      <c r="I187" s="8"/>
      <c r="J187" s="8"/>
      <c r="K187" s="18"/>
      <c r="L187" s="39">
        <f t="shared" si="60"/>
        <v>4173.8</v>
      </c>
      <c r="M187" s="8">
        <v>4113.6</v>
      </c>
      <c r="N187" s="8">
        <v>60.2</v>
      </c>
      <c r="O187" s="14"/>
      <c r="P187" s="145">
        <f t="shared" si="61"/>
        <v>3116.9</v>
      </c>
      <c r="Q187" s="146">
        <f>3116.9-45.3</f>
        <v>3071.6</v>
      </c>
      <c r="R187" s="146">
        <v>45.3</v>
      </c>
      <c r="S187" s="172"/>
      <c r="T187" s="179"/>
      <c r="U187" s="168"/>
      <c r="V187" s="169"/>
      <c r="W187" s="190"/>
    </row>
    <row r="188" spans="1:23" ht="12.75">
      <c r="A188" s="47" t="s">
        <v>16</v>
      </c>
      <c r="B188" s="78">
        <v>50</v>
      </c>
      <c r="C188" s="75">
        <v>10</v>
      </c>
      <c r="D188" s="19">
        <f t="shared" si="59"/>
        <v>2860.6</v>
      </c>
      <c r="E188" s="8">
        <f>2570.4+290.2</f>
        <v>2860.6</v>
      </c>
      <c r="F188" s="8"/>
      <c r="G188" s="18"/>
      <c r="H188" s="19"/>
      <c r="I188" s="8"/>
      <c r="J188" s="8"/>
      <c r="K188" s="18"/>
      <c r="L188" s="39">
        <f t="shared" si="60"/>
        <v>3369.3</v>
      </c>
      <c r="M188" s="8">
        <v>3369.3</v>
      </c>
      <c r="N188" s="8"/>
      <c r="O188" s="14"/>
      <c r="P188" s="145">
        <f t="shared" si="61"/>
        <v>3625.9</v>
      </c>
      <c r="Q188" s="146">
        <f>3257.3+368.6</f>
        <v>3625.9</v>
      </c>
      <c r="R188" s="146"/>
      <c r="S188" s="172"/>
      <c r="T188" s="179"/>
      <c r="U188" s="168"/>
      <c r="V188" s="169"/>
      <c r="W188" s="190"/>
    </row>
    <row r="189" spans="1:23" ht="25.5">
      <c r="A189" s="47" t="s">
        <v>17</v>
      </c>
      <c r="B189" s="78">
        <v>50</v>
      </c>
      <c r="C189" s="75">
        <v>11</v>
      </c>
      <c r="D189" s="19">
        <f t="shared" si="59"/>
        <v>270.5</v>
      </c>
      <c r="E189" s="8">
        <v>270.5</v>
      </c>
      <c r="F189" s="8"/>
      <c r="G189" s="18"/>
      <c r="H189" s="19"/>
      <c r="I189" s="8"/>
      <c r="J189" s="8"/>
      <c r="K189" s="18"/>
      <c r="L189" s="39">
        <f t="shared" si="60"/>
        <v>295.6</v>
      </c>
      <c r="M189" s="8">
        <v>295.6</v>
      </c>
      <c r="N189" s="8"/>
      <c r="O189" s="14"/>
      <c r="P189" s="145">
        <f t="shared" si="61"/>
        <v>348.9</v>
      </c>
      <c r="Q189" s="146">
        <v>348.9</v>
      </c>
      <c r="R189" s="146"/>
      <c r="S189" s="172"/>
      <c r="T189" s="179"/>
      <c r="U189" s="168"/>
      <c r="V189" s="169"/>
      <c r="W189" s="190"/>
    </row>
    <row r="190" spans="1:23" ht="12.75">
      <c r="A190" s="47" t="s">
        <v>19</v>
      </c>
      <c r="B190" s="78">
        <v>50</v>
      </c>
      <c r="C190" s="75">
        <v>13</v>
      </c>
      <c r="D190" s="19">
        <f t="shared" si="59"/>
        <v>83.4</v>
      </c>
      <c r="E190" s="8">
        <v>83.4</v>
      </c>
      <c r="F190" s="8"/>
      <c r="G190" s="18"/>
      <c r="H190" s="19"/>
      <c r="I190" s="8"/>
      <c r="J190" s="8"/>
      <c r="K190" s="18"/>
      <c r="L190" s="39">
        <f t="shared" si="60"/>
        <v>142.7</v>
      </c>
      <c r="M190" s="8">
        <v>142.7</v>
      </c>
      <c r="N190" s="8"/>
      <c r="O190" s="14"/>
      <c r="P190" s="145">
        <f t="shared" si="61"/>
        <v>111.4</v>
      </c>
      <c r="Q190" s="146">
        <v>111.4</v>
      </c>
      <c r="R190" s="146"/>
      <c r="S190" s="172"/>
      <c r="T190" s="179"/>
      <c r="U190" s="168"/>
      <c r="V190" s="169"/>
      <c r="W190" s="190"/>
    </row>
    <row r="191" spans="1:23" ht="25.5">
      <c r="A191" s="47" t="s">
        <v>27</v>
      </c>
      <c r="B191" s="78">
        <v>50</v>
      </c>
      <c r="C191" s="75">
        <v>15</v>
      </c>
      <c r="D191" s="29"/>
      <c r="E191" s="2"/>
      <c r="F191" s="2"/>
      <c r="G191" s="18"/>
      <c r="H191" s="29"/>
      <c r="I191" s="2"/>
      <c r="J191" s="2"/>
      <c r="K191" s="18"/>
      <c r="L191" s="36"/>
      <c r="M191" s="8"/>
      <c r="N191" s="2"/>
      <c r="O191" s="14"/>
      <c r="P191" s="149"/>
      <c r="Q191" s="146"/>
      <c r="R191" s="150"/>
      <c r="S191" s="172"/>
      <c r="T191" s="179"/>
      <c r="U191" s="168"/>
      <c r="V191" s="169"/>
      <c r="W191" s="190"/>
    </row>
    <row r="192" spans="1:23" ht="25.5">
      <c r="A192" s="47" t="s">
        <v>22</v>
      </c>
      <c r="B192" s="78">
        <v>50</v>
      </c>
      <c r="C192" s="75">
        <v>19</v>
      </c>
      <c r="D192" s="19">
        <f>E192+F192+G192</f>
        <v>53.9</v>
      </c>
      <c r="E192" s="8">
        <v>53.9</v>
      </c>
      <c r="F192" s="8"/>
      <c r="G192" s="18"/>
      <c r="H192" s="19"/>
      <c r="I192" s="8"/>
      <c r="J192" s="8"/>
      <c r="K192" s="18"/>
      <c r="L192" s="39">
        <f>M192+N192+O192</f>
        <v>88.9</v>
      </c>
      <c r="M192" s="8">
        <v>88.9</v>
      </c>
      <c r="N192" s="8"/>
      <c r="O192" s="14"/>
      <c r="P192" s="145">
        <f>Q192+R192+S192</f>
        <v>70.7</v>
      </c>
      <c r="Q192" s="146">
        <v>70.7</v>
      </c>
      <c r="R192" s="146"/>
      <c r="S192" s="172"/>
      <c r="T192" s="179"/>
      <c r="U192" s="168"/>
      <c r="V192" s="169"/>
      <c r="W192" s="190"/>
    </row>
    <row r="193" spans="1:23" ht="25.5">
      <c r="A193" s="47" t="s">
        <v>23</v>
      </c>
      <c r="B193" s="78">
        <v>50</v>
      </c>
      <c r="C193" s="75">
        <v>20</v>
      </c>
      <c r="D193" s="19">
        <f>E193+F193+G193</f>
        <v>1205.8</v>
      </c>
      <c r="E193" s="8">
        <f>1205.8+497.5-497.5</f>
        <v>1205.8</v>
      </c>
      <c r="F193" s="8"/>
      <c r="G193" s="18"/>
      <c r="H193" s="19"/>
      <c r="I193" s="8"/>
      <c r="J193" s="8"/>
      <c r="K193" s="18"/>
      <c r="L193" s="39">
        <f>M193+N193+O193</f>
        <v>1340.3</v>
      </c>
      <c r="M193" s="8">
        <v>1328.7</v>
      </c>
      <c r="N193" s="8">
        <v>11.6</v>
      </c>
      <c r="O193" s="14"/>
      <c r="P193" s="145">
        <f>Q193+R193+S193</f>
        <v>1496.5</v>
      </c>
      <c r="Q193" s="146">
        <v>1496.5</v>
      </c>
      <c r="R193" s="146"/>
      <c r="S193" s="172"/>
      <c r="T193" s="182"/>
      <c r="U193" s="168"/>
      <c r="V193" s="169"/>
      <c r="W193" s="188"/>
    </row>
    <row r="194" spans="1:23" s="12" customFormat="1" ht="15">
      <c r="A194" s="45" t="s">
        <v>38</v>
      </c>
      <c r="B194" s="70">
        <v>52</v>
      </c>
      <c r="C194" s="79"/>
      <c r="D194" s="33"/>
      <c r="E194" s="11"/>
      <c r="F194" s="11"/>
      <c r="G194" s="31"/>
      <c r="H194" s="33"/>
      <c r="I194" s="11"/>
      <c r="J194" s="11"/>
      <c r="K194" s="31"/>
      <c r="L194" s="40"/>
      <c r="M194" s="11"/>
      <c r="N194" s="11"/>
      <c r="O194" s="35"/>
      <c r="P194" s="40"/>
      <c r="Q194" s="11"/>
      <c r="R194" s="11"/>
      <c r="S194" s="35"/>
      <c r="T194" s="178"/>
      <c r="U194" s="167"/>
      <c r="V194" s="163"/>
      <c r="W194" s="187"/>
    </row>
    <row r="195" spans="1:23" s="6" customFormat="1" ht="12.75">
      <c r="A195" s="46" t="s">
        <v>8</v>
      </c>
      <c r="B195" s="77">
        <v>52</v>
      </c>
      <c r="C195" s="73" t="s">
        <v>9</v>
      </c>
      <c r="D195" s="17">
        <f>SUM(D196:D206)</f>
        <v>106633.7</v>
      </c>
      <c r="E195" s="5">
        <f>SUM(E196:E206)</f>
        <v>106131.09999999999</v>
      </c>
      <c r="F195" s="5">
        <f>SUM(F196:F206)</f>
        <v>502.6</v>
      </c>
      <c r="G195" s="16">
        <f>SUM(G196:G206)</f>
        <v>0</v>
      </c>
      <c r="H195" s="17">
        <f aca="true" t="shared" si="62" ref="H195:O195">SUM(H196:H206)</f>
        <v>0</v>
      </c>
      <c r="I195" s="5">
        <f t="shared" si="62"/>
        <v>0</v>
      </c>
      <c r="J195" s="5">
        <f t="shared" si="62"/>
        <v>0</v>
      </c>
      <c r="K195" s="16">
        <f t="shared" si="62"/>
        <v>0</v>
      </c>
      <c r="L195" s="38">
        <f t="shared" si="62"/>
        <v>116355.49999999999</v>
      </c>
      <c r="M195" s="5">
        <f t="shared" si="62"/>
        <v>115689.59999999999</v>
      </c>
      <c r="N195" s="5">
        <f t="shared" si="62"/>
        <v>665.9</v>
      </c>
      <c r="O195" s="13">
        <f t="shared" si="62"/>
        <v>0</v>
      </c>
      <c r="P195" s="143">
        <f>SUM(P196:P206)</f>
        <v>115724.90000000001</v>
      </c>
      <c r="Q195" s="144">
        <f>SUM(Q196:Q206)</f>
        <v>115222.3</v>
      </c>
      <c r="R195" s="144">
        <f>SUM(R196:R206)</f>
        <v>502.6</v>
      </c>
      <c r="S195" s="171">
        <f>SUM(S196:S206)</f>
        <v>0</v>
      </c>
      <c r="T195" s="178"/>
      <c r="U195" s="167"/>
      <c r="V195" s="163"/>
      <c r="W195" s="187"/>
    </row>
    <row r="196" spans="1:23" ht="12.75">
      <c r="A196" s="47" t="s">
        <v>10</v>
      </c>
      <c r="B196" s="78">
        <v>52</v>
      </c>
      <c r="C196" s="75">
        <v>1</v>
      </c>
      <c r="D196" s="19">
        <f aca="true" t="shared" si="63" ref="D196:D206">E196+F196+G196</f>
        <v>8207.7</v>
      </c>
      <c r="E196" s="8">
        <v>8207.7</v>
      </c>
      <c r="F196" s="8"/>
      <c r="G196" s="18"/>
      <c r="H196" s="19"/>
      <c r="I196" s="8"/>
      <c r="J196" s="8"/>
      <c r="K196" s="18"/>
      <c r="L196" s="39">
        <f aca="true" t="shared" si="64" ref="L196:L206">M196+N196+O196</f>
        <v>9945.5</v>
      </c>
      <c r="M196" s="8">
        <v>9945.5</v>
      </c>
      <c r="N196" s="8"/>
      <c r="O196" s="14"/>
      <c r="P196" s="145">
        <f aca="true" t="shared" si="65" ref="P196:P206">Q196+R196+S196</f>
        <v>10508.6</v>
      </c>
      <c r="Q196" s="146">
        <v>10508.6</v>
      </c>
      <c r="R196" s="146"/>
      <c r="S196" s="172"/>
      <c r="T196" s="179"/>
      <c r="U196" s="168"/>
      <c r="V196" s="169"/>
      <c r="W196" s="190"/>
    </row>
    <row r="197" spans="1:23" ht="12.75">
      <c r="A197" s="47" t="s">
        <v>11</v>
      </c>
      <c r="B197" s="78">
        <v>52</v>
      </c>
      <c r="C197" s="75">
        <v>3</v>
      </c>
      <c r="D197" s="19">
        <f t="shared" si="63"/>
        <v>4.3</v>
      </c>
      <c r="E197" s="8">
        <v>4.3</v>
      </c>
      <c r="F197" s="8"/>
      <c r="G197" s="18"/>
      <c r="H197" s="19"/>
      <c r="I197" s="8"/>
      <c r="J197" s="8"/>
      <c r="K197" s="18"/>
      <c r="L197" s="39">
        <f t="shared" si="64"/>
        <v>7.5</v>
      </c>
      <c r="M197" s="8">
        <v>7.5</v>
      </c>
      <c r="N197" s="8"/>
      <c r="O197" s="14"/>
      <c r="P197" s="145">
        <f t="shared" si="65"/>
        <v>5.7</v>
      </c>
      <c r="Q197" s="146">
        <v>5.7</v>
      </c>
      <c r="R197" s="146"/>
      <c r="S197" s="172"/>
      <c r="T197" s="179"/>
      <c r="U197" s="168"/>
      <c r="V197" s="169"/>
      <c r="W197" s="190"/>
    </row>
    <row r="198" spans="1:23" ht="25.5">
      <c r="A198" s="47" t="s">
        <v>12</v>
      </c>
      <c r="B198" s="78">
        <v>52</v>
      </c>
      <c r="C198" s="75">
        <v>5</v>
      </c>
      <c r="D198" s="19">
        <f t="shared" si="63"/>
        <v>3345.1</v>
      </c>
      <c r="E198" s="8">
        <v>3345.1</v>
      </c>
      <c r="F198" s="8"/>
      <c r="G198" s="18"/>
      <c r="H198" s="19"/>
      <c r="I198" s="8"/>
      <c r="J198" s="8"/>
      <c r="K198" s="18"/>
      <c r="L198" s="39">
        <f t="shared" si="64"/>
        <v>4383.1</v>
      </c>
      <c r="M198" s="8">
        <v>4383.1</v>
      </c>
      <c r="N198" s="8"/>
      <c r="O198" s="14"/>
      <c r="P198" s="145">
        <f t="shared" si="65"/>
        <v>4042.6</v>
      </c>
      <c r="Q198" s="146">
        <v>4042.6</v>
      </c>
      <c r="R198" s="146"/>
      <c r="S198" s="172"/>
      <c r="T198" s="179"/>
      <c r="U198" s="168"/>
      <c r="V198" s="169"/>
      <c r="W198" s="190"/>
    </row>
    <row r="199" spans="1:23" ht="12.75">
      <c r="A199" s="47" t="s">
        <v>13</v>
      </c>
      <c r="B199" s="78">
        <v>52</v>
      </c>
      <c r="C199" s="75">
        <v>6</v>
      </c>
      <c r="D199" s="19">
        <f t="shared" si="63"/>
        <v>83001.90000000001</v>
      </c>
      <c r="E199" s="8">
        <f>82009+560.8</f>
        <v>82569.8</v>
      </c>
      <c r="F199" s="8">
        <v>432.1</v>
      </c>
      <c r="G199" s="18"/>
      <c r="H199" s="19"/>
      <c r="I199" s="8"/>
      <c r="J199" s="8"/>
      <c r="K199" s="18"/>
      <c r="L199" s="39">
        <f t="shared" si="64"/>
        <v>87042.59999999999</v>
      </c>
      <c r="M199" s="8">
        <v>86497.2</v>
      </c>
      <c r="N199" s="8">
        <v>545.4</v>
      </c>
      <c r="O199" s="14"/>
      <c r="P199" s="145">
        <f t="shared" si="65"/>
        <v>86993.3</v>
      </c>
      <c r="Q199" s="146">
        <f>86993.3-432.1</f>
        <v>86561.2</v>
      </c>
      <c r="R199" s="146">
        <v>432.1</v>
      </c>
      <c r="S199" s="172"/>
      <c r="T199" s="179"/>
      <c r="U199" s="168"/>
      <c r="V199" s="169"/>
      <c r="W199" s="190"/>
    </row>
    <row r="200" spans="1:23" ht="25.5">
      <c r="A200" s="47" t="s">
        <v>14</v>
      </c>
      <c r="B200" s="78">
        <v>52</v>
      </c>
      <c r="C200" s="75">
        <v>8</v>
      </c>
      <c r="D200" s="19">
        <f t="shared" si="63"/>
        <v>3989.2000000000003</v>
      </c>
      <c r="E200" s="8">
        <f>3794.3+124.4</f>
        <v>3918.7000000000003</v>
      </c>
      <c r="F200" s="8">
        <v>70.5</v>
      </c>
      <c r="G200" s="18"/>
      <c r="H200" s="19"/>
      <c r="I200" s="8"/>
      <c r="J200" s="8"/>
      <c r="K200" s="18"/>
      <c r="L200" s="39">
        <f t="shared" si="64"/>
        <v>5831.7</v>
      </c>
      <c r="M200" s="8">
        <v>5742.7</v>
      </c>
      <c r="N200" s="8">
        <v>89</v>
      </c>
      <c r="O200" s="14"/>
      <c r="P200" s="145">
        <f t="shared" si="65"/>
        <v>4721.8</v>
      </c>
      <c r="Q200" s="146">
        <f>4721.8-70.5</f>
        <v>4651.3</v>
      </c>
      <c r="R200" s="146">
        <v>70.5</v>
      </c>
      <c r="S200" s="172"/>
      <c r="T200" s="179"/>
      <c r="U200" s="168"/>
      <c r="V200" s="169"/>
      <c r="W200" s="190"/>
    </row>
    <row r="201" spans="1:23" ht="12.75">
      <c r="A201" s="47" t="s">
        <v>16</v>
      </c>
      <c r="B201" s="78">
        <v>52</v>
      </c>
      <c r="C201" s="75">
        <v>10</v>
      </c>
      <c r="D201" s="19">
        <f t="shared" si="63"/>
        <v>6127.6</v>
      </c>
      <c r="E201" s="8">
        <f>5748.3+331.6+47.7</f>
        <v>6127.6</v>
      </c>
      <c r="F201" s="8"/>
      <c r="G201" s="18"/>
      <c r="H201" s="19"/>
      <c r="I201" s="8"/>
      <c r="J201" s="8"/>
      <c r="K201" s="18"/>
      <c r="L201" s="39">
        <f t="shared" si="64"/>
        <v>6813</v>
      </c>
      <c r="M201" s="8">
        <v>6813</v>
      </c>
      <c r="N201" s="8"/>
      <c r="O201" s="14"/>
      <c r="P201" s="145">
        <f t="shared" si="65"/>
        <v>7036</v>
      </c>
      <c r="Q201" s="146">
        <f>6614.7+421.3</f>
        <v>7036</v>
      </c>
      <c r="R201" s="146"/>
      <c r="S201" s="172"/>
      <c r="T201" s="179"/>
      <c r="U201" s="168"/>
      <c r="V201" s="169"/>
      <c r="W201" s="190"/>
    </row>
    <row r="202" spans="1:23" ht="25.5">
      <c r="A202" s="47" t="s">
        <v>17</v>
      </c>
      <c r="B202" s="78">
        <v>52</v>
      </c>
      <c r="C202" s="75">
        <v>11</v>
      </c>
      <c r="D202" s="19">
        <f t="shared" si="63"/>
        <v>231.9</v>
      </c>
      <c r="E202" s="8">
        <v>231.9</v>
      </c>
      <c r="F202" s="8"/>
      <c r="G202" s="18"/>
      <c r="H202" s="19"/>
      <c r="I202" s="8"/>
      <c r="J202" s="8"/>
      <c r="K202" s="18"/>
      <c r="L202" s="39">
        <f t="shared" si="64"/>
        <v>393.4</v>
      </c>
      <c r="M202" s="8">
        <v>393.4</v>
      </c>
      <c r="N202" s="8"/>
      <c r="O202" s="14"/>
      <c r="P202" s="145">
        <f t="shared" si="65"/>
        <v>299.1</v>
      </c>
      <c r="Q202" s="146">
        <v>299.1</v>
      </c>
      <c r="R202" s="146"/>
      <c r="S202" s="172"/>
      <c r="T202" s="179"/>
      <c r="U202" s="168"/>
      <c r="V202" s="169"/>
      <c r="W202" s="190"/>
    </row>
    <row r="203" spans="1:23" ht="12.75">
      <c r="A203" s="47" t="s">
        <v>19</v>
      </c>
      <c r="B203" s="78">
        <v>52</v>
      </c>
      <c r="C203" s="75">
        <v>13</v>
      </c>
      <c r="D203" s="19">
        <f t="shared" si="63"/>
        <v>133.4</v>
      </c>
      <c r="E203" s="8">
        <v>133.4</v>
      </c>
      <c r="F203" s="8"/>
      <c r="G203" s="18"/>
      <c r="H203" s="19"/>
      <c r="I203" s="8"/>
      <c r="J203" s="8"/>
      <c r="K203" s="18"/>
      <c r="L203" s="39">
        <f t="shared" si="64"/>
        <v>231.8</v>
      </c>
      <c r="M203" s="8">
        <v>231.8</v>
      </c>
      <c r="N203" s="8"/>
      <c r="O203" s="14"/>
      <c r="P203" s="145">
        <f t="shared" si="65"/>
        <v>178.2</v>
      </c>
      <c r="Q203" s="146">
        <v>178.2</v>
      </c>
      <c r="R203" s="146"/>
      <c r="S203" s="172"/>
      <c r="T203" s="179"/>
      <c r="U203" s="168"/>
      <c r="V203" s="169"/>
      <c r="W203" s="190"/>
    </row>
    <row r="204" spans="1:23" ht="25.5">
      <c r="A204" s="47" t="s">
        <v>27</v>
      </c>
      <c r="B204" s="78">
        <v>52</v>
      </c>
      <c r="C204" s="75">
        <v>15</v>
      </c>
      <c r="D204" s="19">
        <f t="shared" si="63"/>
        <v>70.4</v>
      </c>
      <c r="E204" s="8">
        <v>70.4</v>
      </c>
      <c r="F204" s="8"/>
      <c r="G204" s="18"/>
      <c r="H204" s="19"/>
      <c r="I204" s="8"/>
      <c r="J204" s="8"/>
      <c r="K204" s="18"/>
      <c r="L204" s="39">
        <f t="shared" si="64"/>
        <v>0</v>
      </c>
      <c r="M204" s="8"/>
      <c r="N204" s="8"/>
      <c r="O204" s="14"/>
      <c r="P204" s="145">
        <f t="shared" si="65"/>
        <v>132.2</v>
      </c>
      <c r="Q204" s="146">
        <v>132.2</v>
      </c>
      <c r="R204" s="146"/>
      <c r="S204" s="172"/>
      <c r="T204" s="179"/>
      <c r="U204" s="168"/>
      <c r="V204" s="169"/>
      <c r="W204" s="190"/>
    </row>
    <row r="205" spans="1:23" ht="25.5">
      <c r="A205" s="47" t="s">
        <v>22</v>
      </c>
      <c r="B205" s="78">
        <v>52</v>
      </c>
      <c r="C205" s="75">
        <v>19</v>
      </c>
      <c r="D205" s="19">
        <f t="shared" si="63"/>
        <v>53.9</v>
      </c>
      <c r="E205" s="8">
        <v>53.9</v>
      </c>
      <c r="F205" s="8"/>
      <c r="G205" s="18"/>
      <c r="H205" s="19"/>
      <c r="I205" s="8"/>
      <c r="J205" s="8"/>
      <c r="K205" s="18"/>
      <c r="L205" s="39">
        <f t="shared" si="64"/>
        <v>0</v>
      </c>
      <c r="M205" s="8"/>
      <c r="N205" s="8"/>
      <c r="O205" s="14"/>
      <c r="P205" s="145">
        <f t="shared" si="65"/>
        <v>70.7</v>
      </c>
      <c r="Q205" s="146">
        <v>70.7</v>
      </c>
      <c r="R205" s="146"/>
      <c r="S205" s="172"/>
      <c r="T205" s="179"/>
      <c r="U205" s="168"/>
      <c r="V205" s="169"/>
      <c r="W205" s="190"/>
    </row>
    <row r="206" spans="1:23" ht="25.5">
      <c r="A206" s="47" t="s">
        <v>23</v>
      </c>
      <c r="B206" s="78">
        <v>52</v>
      </c>
      <c r="C206" s="75">
        <v>20</v>
      </c>
      <c r="D206" s="19">
        <f t="shared" si="63"/>
        <v>1468.2999999999997</v>
      </c>
      <c r="E206" s="8">
        <f>1399.3+577.4-508.4</f>
        <v>1468.2999999999997</v>
      </c>
      <c r="F206" s="8"/>
      <c r="G206" s="18"/>
      <c r="H206" s="19"/>
      <c r="I206" s="8"/>
      <c r="J206" s="8"/>
      <c r="K206" s="18"/>
      <c r="L206" s="39">
        <f t="shared" si="64"/>
        <v>1706.9</v>
      </c>
      <c r="M206" s="8">
        <v>1675.4</v>
      </c>
      <c r="N206" s="8">
        <v>31.5</v>
      </c>
      <c r="O206" s="14"/>
      <c r="P206" s="145">
        <f t="shared" si="65"/>
        <v>1736.7</v>
      </c>
      <c r="Q206" s="146">
        <v>1736.7</v>
      </c>
      <c r="R206" s="146"/>
      <c r="S206" s="172"/>
      <c r="T206" s="181"/>
      <c r="U206" s="168"/>
      <c r="V206" s="169"/>
      <c r="W206" s="188"/>
    </row>
    <row r="207" spans="1:23" s="12" customFormat="1" ht="15">
      <c r="A207" s="45" t="s">
        <v>39</v>
      </c>
      <c r="B207" s="70">
        <v>53</v>
      </c>
      <c r="C207" s="79"/>
      <c r="D207" s="33"/>
      <c r="E207" s="11"/>
      <c r="F207" s="11"/>
      <c r="G207" s="31"/>
      <c r="H207" s="33"/>
      <c r="I207" s="11"/>
      <c r="J207" s="11"/>
      <c r="K207" s="31"/>
      <c r="L207" s="40"/>
      <c r="M207" s="11"/>
      <c r="N207" s="11"/>
      <c r="O207" s="35"/>
      <c r="P207" s="40"/>
      <c r="Q207" s="11"/>
      <c r="R207" s="11"/>
      <c r="S207" s="35"/>
      <c r="T207" s="178"/>
      <c r="U207" s="167"/>
      <c r="V207" s="163"/>
      <c r="W207" s="187"/>
    </row>
    <row r="208" spans="1:23" s="6" customFormat="1" ht="12.75">
      <c r="A208" s="46" t="s">
        <v>8</v>
      </c>
      <c r="B208" s="77">
        <v>53</v>
      </c>
      <c r="C208" s="73" t="s">
        <v>9</v>
      </c>
      <c r="D208" s="17">
        <f>SUM(D209:D219)</f>
        <v>52475.1</v>
      </c>
      <c r="E208" s="5">
        <f>SUM(E209:E219)</f>
        <v>52264.4</v>
      </c>
      <c r="F208" s="5">
        <f>SUM(F209:F219)</f>
        <v>210.7</v>
      </c>
      <c r="G208" s="16">
        <f>SUM(G209:G219)</f>
        <v>0</v>
      </c>
      <c r="H208" s="17">
        <f aca="true" t="shared" si="66" ref="H208:O208">SUM(H209:H219)</f>
        <v>0</v>
      </c>
      <c r="I208" s="5">
        <f t="shared" si="66"/>
        <v>0</v>
      </c>
      <c r="J208" s="5">
        <f t="shared" si="66"/>
        <v>0</v>
      </c>
      <c r="K208" s="16">
        <f t="shared" si="66"/>
        <v>0</v>
      </c>
      <c r="L208" s="38">
        <f t="shared" si="66"/>
        <v>60590.90000000001</v>
      </c>
      <c r="M208" s="5">
        <f t="shared" si="66"/>
        <v>60207.100000000006</v>
      </c>
      <c r="N208" s="5">
        <f t="shared" si="66"/>
        <v>383.8</v>
      </c>
      <c r="O208" s="13">
        <f t="shared" si="66"/>
        <v>0</v>
      </c>
      <c r="P208" s="143">
        <f>SUM(P209:P219)</f>
        <v>57245.2</v>
      </c>
      <c r="Q208" s="144">
        <f>SUM(Q209:Q219)</f>
        <v>57034.49999999999</v>
      </c>
      <c r="R208" s="144">
        <f>SUM(R209:R219)</f>
        <v>210.7</v>
      </c>
      <c r="S208" s="171">
        <f>SUM(S209:S219)</f>
        <v>0</v>
      </c>
      <c r="T208" s="178"/>
      <c r="U208" s="167"/>
      <c r="V208" s="163"/>
      <c r="W208" s="187"/>
    </row>
    <row r="209" spans="1:23" ht="12.75">
      <c r="A209" s="47" t="s">
        <v>10</v>
      </c>
      <c r="B209" s="78">
        <v>53</v>
      </c>
      <c r="C209" s="75">
        <v>1</v>
      </c>
      <c r="D209" s="19">
        <f aca="true" t="shared" si="67" ref="D209:D219">E209+F209+G209</f>
        <v>3896.6</v>
      </c>
      <c r="E209" s="8">
        <v>3896.6</v>
      </c>
      <c r="F209" s="8"/>
      <c r="G209" s="18"/>
      <c r="H209" s="19"/>
      <c r="I209" s="8"/>
      <c r="J209" s="8"/>
      <c r="K209" s="18"/>
      <c r="L209" s="39">
        <f aca="true" t="shared" si="68" ref="L209:L219">M209+N209+O209</f>
        <v>5027.3</v>
      </c>
      <c r="M209" s="8">
        <v>5027.3</v>
      </c>
      <c r="N209" s="8"/>
      <c r="O209" s="14"/>
      <c r="P209" s="145">
        <f aca="true" t="shared" si="69" ref="P209:P219">Q209+R209+S209</f>
        <v>4951.4</v>
      </c>
      <c r="Q209" s="146">
        <v>4951.4</v>
      </c>
      <c r="R209" s="146"/>
      <c r="S209" s="172"/>
      <c r="T209" s="179"/>
      <c r="U209" s="168"/>
      <c r="V209" s="169"/>
      <c r="W209" s="190"/>
    </row>
    <row r="210" spans="1:23" ht="12.75">
      <c r="A210" s="47" t="s">
        <v>11</v>
      </c>
      <c r="B210" s="78">
        <v>53</v>
      </c>
      <c r="C210" s="75">
        <v>3</v>
      </c>
      <c r="D210" s="19">
        <f t="shared" si="67"/>
        <v>7.3</v>
      </c>
      <c r="E210" s="8">
        <v>7.3</v>
      </c>
      <c r="F210" s="8"/>
      <c r="G210" s="18"/>
      <c r="H210" s="19"/>
      <c r="I210" s="8"/>
      <c r="J210" s="8"/>
      <c r="K210" s="18"/>
      <c r="L210" s="39">
        <f t="shared" si="68"/>
        <v>9</v>
      </c>
      <c r="M210" s="8">
        <v>9</v>
      </c>
      <c r="N210" s="8"/>
      <c r="O210" s="14"/>
      <c r="P210" s="145">
        <f t="shared" si="69"/>
        <v>8.7</v>
      </c>
      <c r="Q210" s="146">
        <v>8.7</v>
      </c>
      <c r="R210" s="146"/>
      <c r="S210" s="172"/>
      <c r="T210" s="179"/>
      <c r="U210" s="168"/>
      <c r="V210" s="169"/>
      <c r="W210" s="190"/>
    </row>
    <row r="211" spans="1:23" ht="25.5">
      <c r="A211" s="47" t="s">
        <v>12</v>
      </c>
      <c r="B211" s="78">
        <v>53</v>
      </c>
      <c r="C211" s="75">
        <v>5</v>
      </c>
      <c r="D211" s="19">
        <f t="shared" si="67"/>
        <v>8278.5</v>
      </c>
      <c r="E211" s="8">
        <v>8278.5</v>
      </c>
      <c r="F211" s="8"/>
      <c r="G211" s="18"/>
      <c r="H211" s="19"/>
      <c r="I211" s="8"/>
      <c r="J211" s="8"/>
      <c r="K211" s="18"/>
      <c r="L211" s="39">
        <f t="shared" si="68"/>
        <v>10118.4</v>
      </c>
      <c r="M211" s="8">
        <v>10118.4</v>
      </c>
      <c r="N211" s="8"/>
      <c r="O211" s="14"/>
      <c r="P211" s="145">
        <f t="shared" si="69"/>
        <v>9933.2</v>
      </c>
      <c r="Q211" s="146">
        <v>9933.2</v>
      </c>
      <c r="R211" s="146"/>
      <c r="S211" s="172"/>
      <c r="T211" s="179"/>
      <c r="U211" s="168"/>
      <c r="V211" s="169"/>
      <c r="W211" s="190"/>
    </row>
    <row r="212" spans="1:23" ht="12.75">
      <c r="A212" s="47" t="s">
        <v>13</v>
      </c>
      <c r="B212" s="78">
        <v>53</v>
      </c>
      <c r="C212" s="75">
        <v>6</v>
      </c>
      <c r="D212" s="19">
        <f t="shared" si="67"/>
        <v>33915.7</v>
      </c>
      <c r="E212" s="8">
        <f>33286.1+440.6</f>
        <v>33726.7</v>
      </c>
      <c r="F212" s="8">
        <v>189</v>
      </c>
      <c r="G212" s="18"/>
      <c r="H212" s="19"/>
      <c r="I212" s="8"/>
      <c r="J212" s="8"/>
      <c r="K212" s="18"/>
      <c r="L212" s="39">
        <f t="shared" si="68"/>
        <v>36611</v>
      </c>
      <c r="M212" s="8">
        <v>36227.2</v>
      </c>
      <c r="N212" s="8">
        <v>383.8</v>
      </c>
      <c r="O212" s="14"/>
      <c r="P212" s="145">
        <f t="shared" si="69"/>
        <v>35614.4</v>
      </c>
      <c r="Q212" s="146">
        <f>35614.4-189</f>
        <v>35425.4</v>
      </c>
      <c r="R212" s="146">
        <v>189</v>
      </c>
      <c r="S212" s="172"/>
      <c r="T212" s="179"/>
      <c r="U212" s="168"/>
      <c r="V212" s="169"/>
      <c r="W212" s="190"/>
    </row>
    <row r="213" spans="1:23" ht="25.5">
      <c r="A213" s="47" t="s">
        <v>14</v>
      </c>
      <c r="B213" s="78">
        <v>53</v>
      </c>
      <c r="C213" s="75">
        <v>8</v>
      </c>
      <c r="D213" s="19">
        <f t="shared" si="67"/>
        <v>2954.7</v>
      </c>
      <c r="E213" s="8">
        <f>2808.6+124.4</f>
        <v>2933</v>
      </c>
      <c r="F213" s="8">
        <v>21.7</v>
      </c>
      <c r="G213" s="18"/>
      <c r="H213" s="19"/>
      <c r="I213" s="8"/>
      <c r="J213" s="8"/>
      <c r="K213" s="18"/>
      <c r="L213" s="39">
        <f t="shared" si="68"/>
        <v>4705.4</v>
      </c>
      <c r="M213" s="8">
        <v>4705.4</v>
      </c>
      <c r="N213" s="8"/>
      <c r="O213" s="14"/>
      <c r="P213" s="145">
        <f t="shared" si="69"/>
        <v>3281.9</v>
      </c>
      <c r="Q213" s="146">
        <f>3281.9-21.7</f>
        <v>3260.2000000000003</v>
      </c>
      <c r="R213" s="146">
        <v>21.7</v>
      </c>
      <c r="S213" s="172"/>
      <c r="T213" s="179"/>
      <c r="U213" s="168"/>
      <c r="V213" s="169"/>
      <c r="W213" s="190"/>
    </row>
    <row r="214" spans="1:23" ht="12.75">
      <c r="A214" s="47" t="s">
        <v>16</v>
      </c>
      <c r="B214" s="78">
        <v>53</v>
      </c>
      <c r="C214" s="75">
        <v>10</v>
      </c>
      <c r="D214" s="19">
        <f t="shared" si="67"/>
        <v>1662.8000000000002</v>
      </c>
      <c r="E214" s="8">
        <f>1331.2+331.6</f>
        <v>1662.8000000000002</v>
      </c>
      <c r="F214" s="8"/>
      <c r="G214" s="18"/>
      <c r="H214" s="19"/>
      <c r="I214" s="8"/>
      <c r="J214" s="8"/>
      <c r="K214" s="18"/>
      <c r="L214" s="39">
        <f t="shared" si="68"/>
        <v>1935.3</v>
      </c>
      <c r="M214" s="8">
        <v>1935.3</v>
      </c>
      <c r="N214" s="8"/>
      <c r="O214" s="14"/>
      <c r="P214" s="145">
        <f t="shared" si="69"/>
        <v>1943.3</v>
      </c>
      <c r="Q214" s="146">
        <f>1522+421.3</f>
        <v>1943.3</v>
      </c>
      <c r="R214" s="146"/>
      <c r="S214" s="172"/>
      <c r="T214" s="179"/>
      <c r="U214" s="168"/>
      <c r="V214" s="169"/>
      <c r="W214" s="190"/>
    </row>
    <row r="215" spans="1:23" ht="25.5">
      <c r="A215" s="47" t="s">
        <v>17</v>
      </c>
      <c r="B215" s="78">
        <v>53</v>
      </c>
      <c r="C215" s="75">
        <v>11</v>
      </c>
      <c r="D215" s="19">
        <f t="shared" si="67"/>
        <v>270.5</v>
      </c>
      <c r="E215" s="8">
        <v>270.5</v>
      </c>
      <c r="F215" s="8"/>
      <c r="G215" s="18"/>
      <c r="H215" s="19"/>
      <c r="I215" s="8"/>
      <c r="J215" s="8"/>
      <c r="K215" s="18"/>
      <c r="L215" s="39">
        <f t="shared" si="68"/>
        <v>299.6</v>
      </c>
      <c r="M215" s="8">
        <v>299.6</v>
      </c>
      <c r="N215" s="8"/>
      <c r="O215" s="14"/>
      <c r="P215" s="145">
        <f t="shared" si="69"/>
        <v>348.9</v>
      </c>
      <c r="Q215" s="146">
        <v>348.9</v>
      </c>
      <c r="R215" s="146"/>
      <c r="S215" s="172"/>
      <c r="T215" s="179"/>
      <c r="U215" s="168"/>
      <c r="V215" s="169"/>
      <c r="W215" s="190"/>
    </row>
    <row r="216" spans="1:23" ht="12.75">
      <c r="A216" s="47" t="s">
        <v>19</v>
      </c>
      <c r="B216" s="78">
        <v>53</v>
      </c>
      <c r="C216" s="75">
        <v>13</v>
      </c>
      <c r="D216" s="19">
        <f t="shared" si="67"/>
        <v>133.4</v>
      </c>
      <c r="E216" s="8">
        <v>133.4</v>
      </c>
      <c r="F216" s="8"/>
      <c r="G216" s="18"/>
      <c r="H216" s="19"/>
      <c r="I216" s="8"/>
      <c r="J216" s="8"/>
      <c r="K216" s="18"/>
      <c r="L216" s="39">
        <f t="shared" si="68"/>
        <v>267.8</v>
      </c>
      <c r="M216" s="8">
        <v>267.8</v>
      </c>
      <c r="N216" s="8"/>
      <c r="O216" s="14"/>
      <c r="P216" s="145">
        <f t="shared" si="69"/>
        <v>178.2</v>
      </c>
      <c r="Q216" s="146">
        <v>178.2</v>
      </c>
      <c r="R216" s="146"/>
      <c r="S216" s="172"/>
      <c r="T216" s="179"/>
      <c r="U216" s="168"/>
      <c r="V216" s="169"/>
      <c r="W216" s="190"/>
    </row>
    <row r="217" spans="1:23" ht="25.5">
      <c r="A217" s="47" t="s">
        <v>27</v>
      </c>
      <c r="B217" s="78">
        <v>53</v>
      </c>
      <c r="C217" s="75">
        <v>15</v>
      </c>
      <c r="D217" s="19">
        <f t="shared" si="67"/>
        <v>0</v>
      </c>
      <c r="E217" s="8"/>
      <c r="F217" s="8"/>
      <c r="G217" s="18"/>
      <c r="H217" s="19"/>
      <c r="I217" s="8"/>
      <c r="J217" s="8"/>
      <c r="K217" s="18"/>
      <c r="L217" s="39">
        <f t="shared" si="68"/>
        <v>90.3</v>
      </c>
      <c r="M217" s="8">
        <v>90.3</v>
      </c>
      <c r="N217" s="8"/>
      <c r="O217" s="14"/>
      <c r="P217" s="145">
        <f t="shared" si="69"/>
        <v>0</v>
      </c>
      <c r="Q217" s="146">
        <v>0</v>
      </c>
      <c r="R217" s="146"/>
      <c r="S217" s="172"/>
      <c r="T217" s="179"/>
      <c r="U217" s="168"/>
      <c r="V217" s="169"/>
      <c r="W217" s="190"/>
    </row>
    <row r="218" spans="1:23" ht="25.5">
      <c r="A218" s="47" t="s">
        <v>22</v>
      </c>
      <c r="B218" s="78">
        <v>53</v>
      </c>
      <c r="C218" s="75">
        <v>19</v>
      </c>
      <c r="D218" s="19">
        <f t="shared" si="67"/>
        <v>53.9</v>
      </c>
      <c r="E218" s="8">
        <v>53.9</v>
      </c>
      <c r="F218" s="8"/>
      <c r="G218" s="18"/>
      <c r="H218" s="19"/>
      <c r="I218" s="8"/>
      <c r="J218" s="8"/>
      <c r="K218" s="18"/>
      <c r="L218" s="39">
        <f t="shared" si="68"/>
        <v>0</v>
      </c>
      <c r="M218" s="8"/>
      <c r="N218" s="8"/>
      <c r="O218" s="14"/>
      <c r="P218" s="145">
        <f t="shared" si="69"/>
        <v>70.7</v>
      </c>
      <c r="Q218" s="146">
        <v>70.7</v>
      </c>
      <c r="R218" s="146"/>
      <c r="S218" s="172"/>
      <c r="T218" s="179"/>
      <c r="U218" s="168"/>
      <c r="V218" s="169"/>
      <c r="W218" s="190"/>
    </row>
    <row r="219" spans="1:23" ht="25.5">
      <c r="A219" s="47" t="s">
        <v>23</v>
      </c>
      <c r="B219" s="78">
        <v>53</v>
      </c>
      <c r="C219" s="75">
        <v>20</v>
      </c>
      <c r="D219" s="19">
        <f t="shared" si="67"/>
        <v>1301.7</v>
      </c>
      <c r="E219" s="8">
        <f>736.9+304.1+260.7</f>
        <v>1301.7</v>
      </c>
      <c r="F219" s="8"/>
      <c r="G219" s="18"/>
      <c r="H219" s="19"/>
      <c r="I219" s="8"/>
      <c r="J219" s="8"/>
      <c r="K219" s="18"/>
      <c r="L219" s="39">
        <f t="shared" si="68"/>
        <v>1526.8</v>
      </c>
      <c r="M219" s="8">
        <v>1526.8</v>
      </c>
      <c r="N219" s="8"/>
      <c r="O219" s="14"/>
      <c r="P219" s="145">
        <f t="shared" si="69"/>
        <v>914.5</v>
      </c>
      <c r="Q219" s="146">
        <v>914.5</v>
      </c>
      <c r="R219" s="146"/>
      <c r="S219" s="172"/>
      <c r="T219" s="181"/>
      <c r="U219" s="168"/>
      <c r="V219" s="169"/>
      <c r="W219" s="188"/>
    </row>
    <row r="220" spans="1:23" s="12" customFormat="1" ht="15">
      <c r="A220" s="49" t="s">
        <v>40</v>
      </c>
      <c r="B220" s="80">
        <v>55</v>
      </c>
      <c r="C220" s="79"/>
      <c r="D220" s="33"/>
      <c r="E220" s="11"/>
      <c r="F220" s="11"/>
      <c r="G220" s="31"/>
      <c r="H220" s="33"/>
      <c r="I220" s="11"/>
      <c r="J220" s="11"/>
      <c r="K220" s="31"/>
      <c r="L220" s="40"/>
      <c r="M220" s="11"/>
      <c r="N220" s="11"/>
      <c r="O220" s="35"/>
      <c r="P220" s="40"/>
      <c r="Q220" s="11"/>
      <c r="R220" s="11"/>
      <c r="S220" s="35"/>
      <c r="T220" s="178"/>
      <c r="U220" s="167"/>
      <c r="V220" s="163"/>
      <c r="W220" s="187"/>
    </row>
    <row r="221" spans="1:23" s="6" customFormat="1" ht="12.75">
      <c r="A221" s="46" t="s">
        <v>8</v>
      </c>
      <c r="B221" s="77">
        <v>55</v>
      </c>
      <c r="C221" s="73" t="s">
        <v>9</v>
      </c>
      <c r="D221" s="17">
        <f>SUM(D222:D233)</f>
        <v>101309.79999999999</v>
      </c>
      <c r="E221" s="5">
        <f>SUM(E222:E233)</f>
        <v>100810.59999999999</v>
      </c>
      <c r="F221" s="5">
        <f>SUM(F222:F233)</f>
        <v>499.2</v>
      </c>
      <c r="G221" s="16">
        <f>SUM(G222:G233)</f>
        <v>0</v>
      </c>
      <c r="H221" s="17">
        <f aca="true" t="shared" si="70" ref="H221:O221">SUM(H222:H233)</f>
        <v>0</v>
      </c>
      <c r="I221" s="5">
        <f t="shared" si="70"/>
        <v>0</v>
      </c>
      <c r="J221" s="5">
        <f t="shared" si="70"/>
        <v>0</v>
      </c>
      <c r="K221" s="16">
        <f t="shared" si="70"/>
        <v>0</v>
      </c>
      <c r="L221" s="38">
        <f t="shared" si="70"/>
        <v>110492.19999999998</v>
      </c>
      <c r="M221" s="5">
        <f t="shared" si="70"/>
        <v>110013.59999999998</v>
      </c>
      <c r="N221" s="5">
        <f t="shared" si="70"/>
        <v>478.59999999999997</v>
      </c>
      <c r="O221" s="13">
        <f t="shared" si="70"/>
        <v>0</v>
      </c>
      <c r="P221" s="143">
        <f>SUM(P222:P233)</f>
        <v>108988.7</v>
      </c>
      <c r="Q221" s="144">
        <f>SUM(Q222:Q233)</f>
        <v>108489.5</v>
      </c>
      <c r="R221" s="144">
        <f>SUM(R222:R233)</f>
        <v>499.2</v>
      </c>
      <c r="S221" s="171">
        <f>SUM(S222:S233)</f>
        <v>0</v>
      </c>
      <c r="T221" s="178"/>
      <c r="U221" s="167"/>
      <c r="V221" s="163"/>
      <c r="W221" s="187"/>
    </row>
    <row r="222" spans="1:23" ht="12.75">
      <c r="A222" s="47" t="s">
        <v>10</v>
      </c>
      <c r="B222" s="78">
        <v>55</v>
      </c>
      <c r="C222" s="75">
        <v>1</v>
      </c>
      <c r="D222" s="19">
        <f aca="true" t="shared" si="71" ref="D222:D233">E222+F222+G222</f>
        <v>8829.5</v>
      </c>
      <c r="E222" s="8">
        <v>8829.5</v>
      </c>
      <c r="F222" s="8"/>
      <c r="G222" s="18"/>
      <c r="H222" s="19"/>
      <c r="I222" s="8"/>
      <c r="J222" s="8"/>
      <c r="K222" s="18"/>
      <c r="L222" s="39">
        <f aca="true" t="shared" si="72" ref="L222:L233">M222+N222+O222</f>
        <v>10479.4</v>
      </c>
      <c r="M222" s="8">
        <v>10479.4</v>
      </c>
      <c r="N222" s="8"/>
      <c r="O222" s="14"/>
      <c r="P222" s="145">
        <f aca="true" t="shared" si="73" ref="P222:P233">Q222+R222+S222</f>
        <v>11272.4</v>
      </c>
      <c r="Q222" s="146">
        <v>11272.4</v>
      </c>
      <c r="R222" s="146"/>
      <c r="S222" s="172"/>
      <c r="T222" s="179"/>
      <c r="U222" s="168"/>
      <c r="V222" s="169"/>
      <c r="W222" s="190"/>
    </row>
    <row r="223" spans="1:23" ht="12.75">
      <c r="A223" s="47" t="s">
        <v>11</v>
      </c>
      <c r="B223" s="78">
        <v>55</v>
      </c>
      <c r="C223" s="75">
        <v>3</v>
      </c>
      <c r="D223" s="19">
        <f t="shared" si="71"/>
        <v>77.9</v>
      </c>
      <c r="E223" s="8">
        <v>77.9</v>
      </c>
      <c r="F223" s="8"/>
      <c r="G223" s="18"/>
      <c r="H223" s="19"/>
      <c r="I223" s="8"/>
      <c r="J223" s="8"/>
      <c r="K223" s="18"/>
      <c r="L223" s="39">
        <f t="shared" si="72"/>
        <v>122.8</v>
      </c>
      <c r="M223" s="8">
        <v>122.8</v>
      </c>
      <c r="N223" s="8"/>
      <c r="O223" s="14"/>
      <c r="P223" s="145">
        <f t="shared" si="73"/>
        <v>88.6</v>
      </c>
      <c r="Q223" s="146">
        <v>88.6</v>
      </c>
      <c r="R223" s="146"/>
      <c r="S223" s="172"/>
      <c r="T223" s="179"/>
      <c r="U223" s="168"/>
      <c r="V223" s="169"/>
      <c r="W223" s="190"/>
    </row>
    <row r="224" spans="1:23" ht="25.5">
      <c r="A224" s="47" t="s">
        <v>12</v>
      </c>
      <c r="B224" s="78">
        <v>55</v>
      </c>
      <c r="C224" s="75">
        <v>5</v>
      </c>
      <c r="D224" s="19">
        <f t="shared" si="71"/>
        <v>3515.6</v>
      </c>
      <c r="E224" s="8">
        <v>3515.6</v>
      </c>
      <c r="F224" s="8"/>
      <c r="G224" s="18"/>
      <c r="H224" s="19"/>
      <c r="I224" s="8"/>
      <c r="J224" s="8"/>
      <c r="K224" s="18"/>
      <c r="L224" s="39">
        <f t="shared" si="72"/>
        <v>4136.4</v>
      </c>
      <c r="M224" s="8">
        <v>4136.4</v>
      </c>
      <c r="N224" s="8"/>
      <c r="O224" s="14"/>
      <c r="P224" s="145">
        <f t="shared" si="73"/>
        <v>4188</v>
      </c>
      <c r="Q224" s="146">
        <v>4188</v>
      </c>
      <c r="R224" s="146"/>
      <c r="S224" s="172"/>
      <c r="T224" s="179"/>
      <c r="U224" s="168"/>
      <c r="V224" s="169"/>
      <c r="W224" s="190"/>
    </row>
    <row r="225" spans="1:23" ht="12.75">
      <c r="A225" s="47" t="s">
        <v>13</v>
      </c>
      <c r="B225" s="78">
        <v>55</v>
      </c>
      <c r="C225" s="75">
        <v>6</v>
      </c>
      <c r="D225" s="19">
        <f t="shared" si="71"/>
        <v>77423.3</v>
      </c>
      <c r="E225" s="8">
        <f>76363.3+560.8</f>
        <v>76924.1</v>
      </c>
      <c r="F225" s="8">
        <v>499.2</v>
      </c>
      <c r="G225" s="18"/>
      <c r="H225" s="19"/>
      <c r="I225" s="8"/>
      <c r="J225" s="8"/>
      <c r="K225" s="18"/>
      <c r="L225" s="39">
        <f t="shared" si="72"/>
        <v>81007.6</v>
      </c>
      <c r="M225" s="8">
        <v>80592.3</v>
      </c>
      <c r="N225" s="8">
        <v>415.3</v>
      </c>
      <c r="O225" s="14"/>
      <c r="P225" s="145">
        <f t="shared" si="73"/>
        <v>81040.8</v>
      </c>
      <c r="Q225" s="146">
        <f>81040.8-499.2</f>
        <v>80541.6</v>
      </c>
      <c r="R225" s="146">
        <v>499.2</v>
      </c>
      <c r="S225" s="172"/>
      <c r="T225" s="179"/>
      <c r="U225" s="168"/>
      <c r="V225" s="169"/>
      <c r="W225" s="190"/>
    </row>
    <row r="226" spans="1:23" ht="25.5">
      <c r="A226" s="47" t="s">
        <v>14</v>
      </c>
      <c r="B226" s="78">
        <v>55</v>
      </c>
      <c r="C226" s="75">
        <v>8</v>
      </c>
      <c r="D226" s="19">
        <f t="shared" si="71"/>
        <v>4318.7</v>
      </c>
      <c r="E226" s="8">
        <f>4194.3+124.4</f>
        <v>4318.7</v>
      </c>
      <c r="F226" s="8"/>
      <c r="G226" s="18"/>
      <c r="H226" s="19"/>
      <c r="I226" s="8"/>
      <c r="J226" s="8"/>
      <c r="K226" s="18"/>
      <c r="L226" s="39">
        <f t="shared" si="72"/>
        <v>6448.1</v>
      </c>
      <c r="M226" s="8">
        <v>6448.1</v>
      </c>
      <c r="N226" s="8"/>
      <c r="O226" s="14"/>
      <c r="P226" s="145">
        <f t="shared" si="73"/>
        <v>4979.2</v>
      </c>
      <c r="Q226" s="146">
        <v>4979.2</v>
      </c>
      <c r="R226" s="146"/>
      <c r="S226" s="172"/>
      <c r="T226" s="179"/>
      <c r="U226" s="168"/>
      <c r="V226" s="169"/>
      <c r="W226" s="190"/>
    </row>
    <row r="227" spans="1:23" ht="12.75">
      <c r="A227" s="47" t="s">
        <v>16</v>
      </c>
      <c r="B227" s="78">
        <v>55</v>
      </c>
      <c r="C227" s="75">
        <v>10</v>
      </c>
      <c r="D227" s="19">
        <f t="shared" si="71"/>
        <v>4422</v>
      </c>
      <c r="E227" s="8">
        <f>4090.4+331.6</f>
        <v>4422</v>
      </c>
      <c r="F227" s="8"/>
      <c r="G227" s="18"/>
      <c r="H227" s="19"/>
      <c r="I227" s="8"/>
      <c r="J227" s="8"/>
      <c r="K227" s="18"/>
      <c r="L227" s="39">
        <f t="shared" si="72"/>
        <v>4953.9</v>
      </c>
      <c r="M227" s="8">
        <v>4953.9</v>
      </c>
      <c r="N227" s="8"/>
      <c r="O227" s="14"/>
      <c r="P227" s="145">
        <f t="shared" si="73"/>
        <v>5098</v>
      </c>
      <c r="Q227" s="146">
        <f>4676.7+421.3</f>
        <v>5098</v>
      </c>
      <c r="R227" s="146"/>
      <c r="S227" s="172"/>
      <c r="T227" s="179"/>
      <c r="U227" s="168"/>
      <c r="V227" s="169"/>
      <c r="W227" s="190"/>
    </row>
    <row r="228" spans="1:23" ht="25.5">
      <c r="A228" s="47" t="s">
        <v>17</v>
      </c>
      <c r="B228" s="78">
        <v>55</v>
      </c>
      <c r="C228" s="75">
        <v>11</v>
      </c>
      <c r="D228" s="19">
        <f t="shared" si="71"/>
        <v>231.9</v>
      </c>
      <c r="E228" s="8">
        <v>231.9</v>
      </c>
      <c r="F228" s="8"/>
      <c r="G228" s="18"/>
      <c r="H228" s="19"/>
      <c r="I228" s="8"/>
      <c r="J228" s="8"/>
      <c r="K228" s="18"/>
      <c r="L228" s="39">
        <f t="shared" si="72"/>
        <v>316.9</v>
      </c>
      <c r="M228" s="8">
        <v>316.9</v>
      </c>
      <c r="N228" s="8"/>
      <c r="O228" s="14"/>
      <c r="P228" s="145">
        <f t="shared" si="73"/>
        <v>299.1</v>
      </c>
      <c r="Q228" s="146">
        <v>299.1</v>
      </c>
      <c r="R228" s="146"/>
      <c r="S228" s="172"/>
      <c r="T228" s="179"/>
      <c r="U228" s="168"/>
      <c r="V228" s="169"/>
      <c r="W228" s="190"/>
    </row>
    <row r="229" spans="1:23" ht="12.75">
      <c r="A229" s="47" t="s">
        <v>19</v>
      </c>
      <c r="B229" s="78">
        <v>55</v>
      </c>
      <c r="C229" s="75">
        <v>13</v>
      </c>
      <c r="D229" s="19">
        <f t="shared" si="71"/>
        <v>133.4</v>
      </c>
      <c r="E229" s="8">
        <v>133.4</v>
      </c>
      <c r="F229" s="8"/>
      <c r="G229" s="18"/>
      <c r="H229" s="19"/>
      <c r="I229" s="8"/>
      <c r="J229" s="8"/>
      <c r="K229" s="18"/>
      <c r="L229" s="39">
        <f t="shared" si="72"/>
        <v>0</v>
      </c>
      <c r="M229" s="8"/>
      <c r="N229" s="8"/>
      <c r="O229" s="14"/>
      <c r="P229" s="145">
        <f t="shared" si="73"/>
        <v>178.2</v>
      </c>
      <c r="Q229" s="146">
        <v>178.2</v>
      </c>
      <c r="R229" s="146"/>
      <c r="S229" s="172"/>
      <c r="T229" s="179"/>
      <c r="U229" s="168"/>
      <c r="V229" s="169"/>
      <c r="W229" s="190"/>
    </row>
    <row r="230" spans="1:23" ht="25.5">
      <c r="A230" s="47" t="s">
        <v>20</v>
      </c>
      <c r="B230" s="78">
        <v>55</v>
      </c>
      <c r="C230" s="75">
        <v>14</v>
      </c>
      <c r="D230" s="19">
        <f t="shared" si="71"/>
        <v>0</v>
      </c>
      <c r="E230" s="8"/>
      <c r="F230" s="8"/>
      <c r="G230" s="18"/>
      <c r="H230" s="19"/>
      <c r="I230" s="8"/>
      <c r="J230" s="8"/>
      <c r="K230" s="18"/>
      <c r="L230" s="39">
        <f t="shared" si="72"/>
        <v>197.9</v>
      </c>
      <c r="M230" s="8">
        <v>197.9</v>
      </c>
      <c r="N230" s="8"/>
      <c r="O230" s="14"/>
      <c r="P230" s="145">
        <f t="shared" si="73"/>
        <v>0</v>
      </c>
      <c r="Q230" s="146">
        <v>0</v>
      </c>
      <c r="R230" s="146"/>
      <c r="S230" s="172"/>
      <c r="T230" s="179"/>
      <c r="U230" s="168"/>
      <c r="V230" s="169"/>
      <c r="W230" s="190"/>
    </row>
    <row r="231" spans="1:23" ht="25.5">
      <c r="A231" s="47" t="s">
        <v>27</v>
      </c>
      <c r="B231" s="78">
        <v>55</v>
      </c>
      <c r="C231" s="75">
        <v>15</v>
      </c>
      <c r="D231" s="19">
        <f t="shared" si="71"/>
        <v>0</v>
      </c>
      <c r="E231" s="8"/>
      <c r="F231" s="8"/>
      <c r="G231" s="18"/>
      <c r="H231" s="19"/>
      <c r="I231" s="8"/>
      <c r="J231" s="8"/>
      <c r="K231" s="18"/>
      <c r="L231" s="39">
        <f t="shared" si="72"/>
        <v>38.4</v>
      </c>
      <c r="M231" s="8"/>
      <c r="N231" s="8">
        <v>38.4</v>
      </c>
      <c r="O231" s="14"/>
      <c r="P231" s="145">
        <f t="shared" si="73"/>
        <v>0</v>
      </c>
      <c r="Q231" s="146"/>
      <c r="R231" s="146">
        <v>0</v>
      </c>
      <c r="S231" s="172"/>
      <c r="T231" s="179"/>
      <c r="U231" s="168"/>
      <c r="V231" s="169"/>
      <c r="W231" s="190"/>
    </row>
    <row r="232" spans="1:23" ht="25.5">
      <c r="A232" s="47" t="s">
        <v>22</v>
      </c>
      <c r="B232" s="78">
        <v>55</v>
      </c>
      <c r="C232" s="75">
        <v>19</v>
      </c>
      <c r="D232" s="19">
        <f t="shared" si="71"/>
        <v>53.9</v>
      </c>
      <c r="E232" s="8">
        <v>53.9</v>
      </c>
      <c r="F232" s="8"/>
      <c r="G232" s="18"/>
      <c r="H232" s="19"/>
      <c r="I232" s="8"/>
      <c r="J232" s="8"/>
      <c r="K232" s="18"/>
      <c r="L232" s="39">
        <f t="shared" si="72"/>
        <v>80.4</v>
      </c>
      <c r="M232" s="8">
        <v>80.4</v>
      </c>
      <c r="N232" s="8"/>
      <c r="O232" s="14"/>
      <c r="P232" s="145">
        <f t="shared" si="73"/>
        <v>70.7</v>
      </c>
      <c r="Q232" s="146">
        <v>70.7</v>
      </c>
      <c r="R232" s="146"/>
      <c r="S232" s="172"/>
      <c r="T232" s="179"/>
      <c r="U232" s="168"/>
      <c r="V232" s="169"/>
      <c r="W232" s="190"/>
    </row>
    <row r="233" spans="1:23" ht="25.5">
      <c r="A233" s="47" t="s">
        <v>23</v>
      </c>
      <c r="B233" s="78">
        <v>55</v>
      </c>
      <c r="C233" s="75">
        <v>20</v>
      </c>
      <c r="D233" s="19">
        <f t="shared" si="71"/>
        <v>2303.6</v>
      </c>
      <c r="E233" s="8">
        <f>1429.1+589.7+284.8</f>
        <v>2303.6</v>
      </c>
      <c r="F233" s="8"/>
      <c r="G233" s="18"/>
      <c r="H233" s="19"/>
      <c r="I233" s="8"/>
      <c r="J233" s="8"/>
      <c r="K233" s="18"/>
      <c r="L233" s="39">
        <f t="shared" si="72"/>
        <v>2710.4</v>
      </c>
      <c r="M233" s="8">
        <v>2685.5</v>
      </c>
      <c r="N233" s="8">
        <v>24.9</v>
      </c>
      <c r="O233" s="14"/>
      <c r="P233" s="145">
        <f t="shared" si="73"/>
        <v>1773.7</v>
      </c>
      <c r="Q233" s="146">
        <v>1773.7</v>
      </c>
      <c r="R233" s="146"/>
      <c r="S233" s="172"/>
      <c r="T233" s="181"/>
      <c r="U233" s="168"/>
      <c r="V233" s="169"/>
      <c r="W233" s="188"/>
    </row>
    <row r="234" spans="1:23" s="12" customFormat="1" ht="15">
      <c r="A234" s="45" t="s">
        <v>41</v>
      </c>
      <c r="B234" s="70">
        <v>57</v>
      </c>
      <c r="C234" s="79"/>
      <c r="D234" s="33"/>
      <c r="E234" s="11"/>
      <c r="F234" s="11"/>
      <c r="G234" s="31"/>
      <c r="H234" s="33"/>
      <c r="I234" s="11"/>
      <c r="J234" s="11"/>
      <c r="K234" s="31"/>
      <c r="L234" s="40"/>
      <c r="M234" s="11"/>
      <c r="N234" s="11"/>
      <c r="O234" s="35"/>
      <c r="P234" s="40"/>
      <c r="Q234" s="11"/>
      <c r="R234" s="11"/>
      <c r="S234" s="35"/>
      <c r="T234" s="178"/>
      <c r="U234" s="167"/>
      <c r="V234" s="163"/>
      <c r="W234" s="187"/>
    </row>
    <row r="235" spans="1:23" s="6" customFormat="1" ht="12.75">
      <c r="A235" s="46" t="s">
        <v>8</v>
      </c>
      <c r="B235" s="77">
        <v>57</v>
      </c>
      <c r="C235" s="73" t="s">
        <v>9</v>
      </c>
      <c r="D235" s="17">
        <f>SUM(D236:D246)</f>
        <v>116382.09999999999</v>
      </c>
      <c r="E235" s="5">
        <f>SUM(E236:E246)</f>
        <v>116025.69999999998</v>
      </c>
      <c r="F235" s="5">
        <f>SUM(F236:F246)</f>
        <v>356.40000000000003</v>
      </c>
      <c r="G235" s="16">
        <f>SUM(G236:G246)</f>
        <v>0</v>
      </c>
      <c r="H235" s="17">
        <f aca="true" t="shared" si="74" ref="H235:O235">SUM(H236:H246)</f>
        <v>0</v>
      </c>
      <c r="I235" s="5">
        <f t="shared" si="74"/>
        <v>0</v>
      </c>
      <c r="J235" s="5">
        <f t="shared" si="74"/>
        <v>0</v>
      </c>
      <c r="K235" s="16">
        <f t="shared" si="74"/>
        <v>0</v>
      </c>
      <c r="L235" s="38">
        <f t="shared" si="74"/>
        <v>125860.3</v>
      </c>
      <c r="M235" s="5">
        <f t="shared" si="74"/>
        <v>125158.7</v>
      </c>
      <c r="N235" s="5">
        <f t="shared" si="74"/>
        <v>701.5999999999999</v>
      </c>
      <c r="O235" s="13">
        <f t="shared" si="74"/>
        <v>0</v>
      </c>
      <c r="P235" s="143">
        <f>SUM(P236:P246)</f>
        <v>126355.50000000001</v>
      </c>
      <c r="Q235" s="144">
        <f>SUM(Q236:Q246)</f>
        <v>125999.1</v>
      </c>
      <c r="R235" s="144">
        <f>SUM(R236:R246)</f>
        <v>356.40000000000003</v>
      </c>
      <c r="S235" s="171">
        <f>SUM(S236:S246)</f>
        <v>0</v>
      </c>
      <c r="T235" s="178"/>
      <c r="U235" s="167"/>
      <c r="V235" s="163"/>
      <c r="W235" s="187"/>
    </row>
    <row r="236" spans="1:23" ht="12.75">
      <c r="A236" s="47" t="s">
        <v>10</v>
      </c>
      <c r="B236" s="78">
        <v>57</v>
      </c>
      <c r="C236" s="75">
        <v>1</v>
      </c>
      <c r="D236" s="19">
        <f aca="true" t="shared" si="75" ref="D236:D246">E236+F236+G236</f>
        <v>9024.8</v>
      </c>
      <c r="E236" s="8">
        <v>9016</v>
      </c>
      <c r="F236" s="8">
        <v>8.8</v>
      </c>
      <c r="G236" s="18"/>
      <c r="H236" s="19"/>
      <c r="I236" s="8"/>
      <c r="J236" s="8"/>
      <c r="K236" s="18"/>
      <c r="L236" s="39">
        <f aca="true" t="shared" si="76" ref="L236:L246">M236+N236+O236</f>
        <v>10547.199999999999</v>
      </c>
      <c r="M236" s="8">
        <v>10543.4</v>
      </c>
      <c r="N236" s="8">
        <v>3.8</v>
      </c>
      <c r="O236" s="14"/>
      <c r="P236" s="145">
        <f aca="true" t="shared" si="77" ref="P236:P246">Q236+R236+S236</f>
        <v>11465.599999999999</v>
      </c>
      <c r="Q236" s="146">
        <v>11456.8</v>
      </c>
      <c r="R236" s="146">
        <v>8.8</v>
      </c>
      <c r="S236" s="172"/>
      <c r="T236" s="179"/>
      <c r="U236" s="168"/>
      <c r="V236" s="169"/>
      <c r="W236" s="190"/>
    </row>
    <row r="237" spans="1:23" ht="12.75">
      <c r="A237" s="47" t="s">
        <v>11</v>
      </c>
      <c r="B237" s="78" t="s">
        <v>71</v>
      </c>
      <c r="C237" s="75" t="s">
        <v>72</v>
      </c>
      <c r="D237" s="19"/>
      <c r="E237" s="8"/>
      <c r="F237" s="8"/>
      <c r="G237" s="18"/>
      <c r="H237" s="19"/>
      <c r="I237" s="8"/>
      <c r="J237" s="8"/>
      <c r="K237" s="18"/>
      <c r="L237" s="39"/>
      <c r="M237" s="8"/>
      <c r="N237" s="8"/>
      <c r="O237" s="14"/>
      <c r="P237" s="145">
        <f t="shared" si="77"/>
        <v>10.3</v>
      </c>
      <c r="Q237" s="146">
        <v>10.3</v>
      </c>
      <c r="R237" s="146"/>
      <c r="S237" s="172"/>
      <c r="T237" s="179"/>
      <c r="U237" s="168"/>
      <c r="V237" s="169"/>
      <c r="W237" s="190"/>
    </row>
    <row r="238" spans="1:23" ht="25.5">
      <c r="A238" s="47" t="s">
        <v>12</v>
      </c>
      <c r="B238" s="78">
        <v>57</v>
      </c>
      <c r="C238" s="75">
        <v>5</v>
      </c>
      <c r="D238" s="19">
        <f t="shared" si="75"/>
        <v>3103.3</v>
      </c>
      <c r="E238" s="8">
        <v>3103.3</v>
      </c>
      <c r="F238" s="8"/>
      <c r="G238" s="18"/>
      <c r="H238" s="19"/>
      <c r="I238" s="8"/>
      <c r="J238" s="8"/>
      <c r="K238" s="18"/>
      <c r="L238" s="39">
        <f t="shared" si="76"/>
        <v>3991.4</v>
      </c>
      <c r="M238" s="8">
        <v>3991.4</v>
      </c>
      <c r="N238" s="8"/>
      <c r="O238" s="14"/>
      <c r="P238" s="145">
        <f t="shared" si="77"/>
        <v>3718.7</v>
      </c>
      <c r="Q238" s="146">
        <v>3718.7</v>
      </c>
      <c r="R238" s="146"/>
      <c r="S238" s="172"/>
      <c r="T238" s="179"/>
      <c r="U238" s="168"/>
      <c r="V238" s="169"/>
      <c r="W238" s="190"/>
    </row>
    <row r="239" spans="1:23" ht="12.75">
      <c r="A239" s="47" t="s">
        <v>13</v>
      </c>
      <c r="B239" s="78">
        <v>57</v>
      </c>
      <c r="C239" s="75">
        <v>6</v>
      </c>
      <c r="D239" s="19">
        <f t="shared" si="75"/>
        <v>92134.5</v>
      </c>
      <c r="E239" s="8">
        <f>91227.7+560.8</f>
        <v>91788.5</v>
      </c>
      <c r="F239" s="8">
        <v>346</v>
      </c>
      <c r="G239" s="18"/>
      <c r="H239" s="19"/>
      <c r="I239" s="8"/>
      <c r="J239" s="8"/>
      <c r="K239" s="18"/>
      <c r="L239" s="39">
        <f t="shared" si="76"/>
        <v>94685.9</v>
      </c>
      <c r="M239" s="8">
        <v>93990.4</v>
      </c>
      <c r="N239" s="8">
        <v>695.5</v>
      </c>
      <c r="O239" s="14"/>
      <c r="P239" s="145">
        <f t="shared" si="77"/>
        <v>96859.1</v>
      </c>
      <c r="Q239" s="146">
        <f>96859.1-346</f>
        <v>96513.1</v>
      </c>
      <c r="R239" s="146">
        <v>346</v>
      </c>
      <c r="S239" s="172"/>
      <c r="T239" s="179"/>
      <c r="U239" s="168"/>
      <c r="V239" s="169"/>
      <c r="W239" s="190"/>
    </row>
    <row r="240" spans="1:23" ht="25.5">
      <c r="A240" s="47" t="s">
        <v>14</v>
      </c>
      <c r="B240" s="78">
        <v>57</v>
      </c>
      <c r="C240" s="75">
        <v>8</v>
      </c>
      <c r="D240" s="19">
        <f t="shared" si="75"/>
        <v>4293.3</v>
      </c>
      <c r="E240" s="8">
        <f>4167.3+124.4</f>
        <v>4291.7</v>
      </c>
      <c r="F240" s="8">
        <v>1.6</v>
      </c>
      <c r="G240" s="18"/>
      <c r="H240" s="19"/>
      <c r="I240" s="8"/>
      <c r="J240" s="8"/>
      <c r="K240" s="18"/>
      <c r="L240" s="39">
        <f t="shared" si="76"/>
        <v>6842.1</v>
      </c>
      <c r="M240" s="8">
        <v>6839.8</v>
      </c>
      <c r="N240" s="8">
        <v>2.3</v>
      </c>
      <c r="O240" s="14"/>
      <c r="P240" s="145">
        <f t="shared" si="77"/>
        <v>5139.6</v>
      </c>
      <c r="Q240" s="146">
        <f>5139.6-1.6</f>
        <v>5138</v>
      </c>
      <c r="R240" s="146">
        <v>1.6</v>
      </c>
      <c r="S240" s="172"/>
      <c r="T240" s="179"/>
      <c r="U240" s="168"/>
      <c r="V240" s="169"/>
      <c r="W240" s="190"/>
    </row>
    <row r="241" spans="1:23" ht="12.75">
      <c r="A241" s="47" t="s">
        <v>16</v>
      </c>
      <c r="B241" s="78">
        <v>57</v>
      </c>
      <c r="C241" s="75">
        <v>10</v>
      </c>
      <c r="D241" s="19">
        <f t="shared" si="75"/>
        <v>5319.5</v>
      </c>
      <c r="E241" s="8">
        <f>4987.9+331.6</f>
        <v>5319.5</v>
      </c>
      <c r="F241" s="8"/>
      <c r="G241" s="18"/>
      <c r="H241" s="19"/>
      <c r="I241" s="8"/>
      <c r="J241" s="8"/>
      <c r="K241" s="18"/>
      <c r="L241" s="39">
        <f t="shared" si="76"/>
        <v>6648</v>
      </c>
      <c r="M241" s="8">
        <v>6648</v>
      </c>
      <c r="N241" s="8"/>
      <c r="O241" s="14"/>
      <c r="P241" s="145">
        <f t="shared" si="77"/>
        <v>6212.400000000001</v>
      </c>
      <c r="Q241" s="146">
        <f>5791.1+421.3</f>
        <v>6212.400000000001</v>
      </c>
      <c r="R241" s="146"/>
      <c r="S241" s="172"/>
      <c r="T241" s="179"/>
      <c r="U241" s="168"/>
      <c r="V241" s="169"/>
      <c r="W241" s="190"/>
    </row>
    <row r="242" spans="1:23" ht="25.5">
      <c r="A242" s="47" t="s">
        <v>17</v>
      </c>
      <c r="B242" s="78">
        <v>57</v>
      </c>
      <c r="C242" s="75">
        <v>11</v>
      </c>
      <c r="D242" s="19">
        <f t="shared" si="75"/>
        <v>231.9</v>
      </c>
      <c r="E242" s="8">
        <v>231.9</v>
      </c>
      <c r="F242" s="8"/>
      <c r="G242" s="18"/>
      <c r="H242" s="19"/>
      <c r="I242" s="8"/>
      <c r="J242" s="8"/>
      <c r="K242" s="18"/>
      <c r="L242" s="39">
        <f t="shared" si="76"/>
        <v>332.5</v>
      </c>
      <c r="M242" s="8">
        <v>332.5</v>
      </c>
      <c r="N242" s="8"/>
      <c r="O242" s="14"/>
      <c r="P242" s="145">
        <f t="shared" si="77"/>
        <v>299.1</v>
      </c>
      <c r="Q242" s="146">
        <v>299.1</v>
      </c>
      <c r="R242" s="146"/>
      <c r="S242" s="172"/>
      <c r="T242" s="179"/>
      <c r="U242" s="168"/>
      <c r="V242" s="169"/>
      <c r="W242" s="190"/>
    </row>
    <row r="243" spans="1:23" ht="12.75">
      <c r="A243" s="47" t="s">
        <v>19</v>
      </c>
      <c r="B243" s="78">
        <v>57</v>
      </c>
      <c r="C243" s="75">
        <v>13</v>
      </c>
      <c r="D243" s="19">
        <f t="shared" si="75"/>
        <v>133.4</v>
      </c>
      <c r="E243" s="8">
        <v>133.4</v>
      </c>
      <c r="F243" s="8"/>
      <c r="G243" s="18"/>
      <c r="H243" s="19"/>
      <c r="I243" s="8"/>
      <c r="J243" s="8"/>
      <c r="K243" s="18"/>
      <c r="L243" s="39">
        <f t="shared" si="76"/>
        <v>0</v>
      </c>
      <c r="M243" s="8"/>
      <c r="N243" s="8"/>
      <c r="O243" s="14"/>
      <c r="P243" s="145">
        <f t="shared" si="77"/>
        <v>178.2</v>
      </c>
      <c r="Q243" s="146">
        <v>178.2</v>
      </c>
      <c r="R243" s="146"/>
      <c r="S243" s="172"/>
      <c r="T243" s="179"/>
      <c r="U243" s="168"/>
      <c r="V243" s="169"/>
      <c r="W243" s="190"/>
    </row>
    <row r="244" spans="1:23" ht="25.5">
      <c r="A244" s="47" t="s">
        <v>27</v>
      </c>
      <c r="B244" s="78">
        <v>57</v>
      </c>
      <c r="C244" s="75">
        <v>15</v>
      </c>
      <c r="D244" s="19">
        <f t="shared" si="75"/>
        <v>0</v>
      </c>
      <c r="E244" s="8"/>
      <c r="F244" s="8"/>
      <c r="G244" s="18"/>
      <c r="H244" s="19"/>
      <c r="I244" s="8"/>
      <c r="J244" s="8"/>
      <c r="K244" s="18"/>
      <c r="L244" s="39">
        <f t="shared" si="76"/>
        <v>92.8</v>
      </c>
      <c r="M244" s="8">
        <v>92.8</v>
      </c>
      <c r="N244" s="8"/>
      <c r="O244" s="14"/>
      <c r="P244" s="145">
        <f t="shared" si="77"/>
        <v>0</v>
      </c>
      <c r="Q244" s="146">
        <v>0</v>
      </c>
      <c r="R244" s="146"/>
      <c r="S244" s="172"/>
      <c r="T244" s="179"/>
      <c r="U244" s="168"/>
      <c r="V244" s="169"/>
      <c r="W244" s="190"/>
    </row>
    <row r="245" spans="1:23" ht="25.5">
      <c r="A245" s="47" t="s">
        <v>22</v>
      </c>
      <c r="B245" s="78">
        <v>57</v>
      </c>
      <c r="C245" s="75">
        <v>19</v>
      </c>
      <c r="D245" s="19">
        <f t="shared" si="75"/>
        <v>53.9</v>
      </c>
      <c r="E245" s="8">
        <v>53.9</v>
      </c>
      <c r="F245" s="8"/>
      <c r="G245" s="18"/>
      <c r="H245" s="19"/>
      <c r="I245" s="8"/>
      <c r="J245" s="8"/>
      <c r="K245" s="18"/>
      <c r="L245" s="39">
        <f t="shared" si="76"/>
        <v>0</v>
      </c>
      <c r="M245" s="8"/>
      <c r="N245" s="8"/>
      <c r="O245" s="14"/>
      <c r="P245" s="145">
        <f t="shared" si="77"/>
        <v>70.7</v>
      </c>
      <c r="Q245" s="146">
        <v>70.7</v>
      </c>
      <c r="R245" s="146"/>
      <c r="S245" s="172"/>
      <c r="T245" s="179"/>
      <c r="U245" s="168"/>
      <c r="V245" s="169"/>
      <c r="W245" s="190"/>
    </row>
    <row r="246" spans="1:23" ht="25.5">
      <c r="A246" s="47" t="s">
        <v>23</v>
      </c>
      <c r="B246" s="78">
        <v>57</v>
      </c>
      <c r="C246" s="75">
        <v>20</v>
      </c>
      <c r="D246" s="19">
        <f t="shared" si="75"/>
        <v>2087.5</v>
      </c>
      <c r="E246" s="8">
        <f>1935.2+798.5-646.2</f>
        <v>2087.5</v>
      </c>
      <c r="F246" s="8"/>
      <c r="G246" s="18"/>
      <c r="H246" s="19"/>
      <c r="I246" s="8"/>
      <c r="J246" s="8"/>
      <c r="K246" s="18"/>
      <c r="L246" s="39">
        <f t="shared" si="76"/>
        <v>2720.4</v>
      </c>
      <c r="M246" s="8">
        <v>2720.4</v>
      </c>
      <c r="N246" s="8"/>
      <c r="O246" s="14"/>
      <c r="P246" s="145">
        <f t="shared" si="77"/>
        <v>2401.8</v>
      </c>
      <c r="Q246" s="146">
        <v>2401.8</v>
      </c>
      <c r="R246" s="146"/>
      <c r="S246" s="172"/>
      <c r="T246" s="181"/>
      <c r="U246" s="168"/>
      <c r="V246" s="169"/>
      <c r="W246" s="188"/>
    </row>
    <row r="247" spans="1:23" s="12" customFormat="1" ht="15">
      <c r="A247" s="45" t="s">
        <v>42</v>
      </c>
      <c r="B247" s="70">
        <v>59</v>
      </c>
      <c r="C247" s="79"/>
      <c r="D247" s="33"/>
      <c r="E247" s="11"/>
      <c r="F247" s="11"/>
      <c r="G247" s="31"/>
      <c r="H247" s="33"/>
      <c r="I247" s="11"/>
      <c r="J247" s="11"/>
      <c r="K247" s="31"/>
      <c r="L247" s="40"/>
      <c r="M247" s="11"/>
      <c r="N247" s="11"/>
      <c r="O247" s="35"/>
      <c r="P247" s="40"/>
      <c r="Q247" s="11"/>
      <c r="R247" s="11"/>
      <c r="S247" s="35"/>
      <c r="T247" s="178"/>
      <c r="U247" s="167"/>
      <c r="V247" s="163"/>
      <c r="W247" s="187"/>
    </row>
    <row r="248" spans="1:23" s="6" customFormat="1" ht="12.75">
      <c r="A248" s="46" t="s">
        <v>8</v>
      </c>
      <c r="B248" s="77">
        <v>59</v>
      </c>
      <c r="C248" s="73" t="s">
        <v>9</v>
      </c>
      <c r="D248" s="17">
        <f>SUM(D249:D259)</f>
        <v>105929.9</v>
      </c>
      <c r="E248" s="5">
        <f>SUM(E249:E259)</f>
        <v>105439.79999999999</v>
      </c>
      <c r="F248" s="5">
        <f>SUM(F249:F259)</f>
        <v>490.1</v>
      </c>
      <c r="G248" s="16">
        <f>SUM(G249:G259)</f>
        <v>0</v>
      </c>
      <c r="H248" s="17">
        <f aca="true" t="shared" si="78" ref="H248:O248">SUM(H249:H259)</f>
        <v>0</v>
      </c>
      <c r="I248" s="5">
        <f t="shared" si="78"/>
        <v>0</v>
      </c>
      <c r="J248" s="5">
        <f t="shared" si="78"/>
        <v>0</v>
      </c>
      <c r="K248" s="16">
        <f t="shared" si="78"/>
        <v>0</v>
      </c>
      <c r="L248" s="38">
        <f t="shared" si="78"/>
        <v>119934.9</v>
      </c>
      <c r="M248" s="5">
        <f t="shared" si="78"/>
        <v>119206.1</v>
      </c>
      <c r="N248" s="5">
        <f t="shared" si="78"/>
        <v>728.8000000000001</v>
      </c>
      <c r="O248" s="13">
        <f t="shared" si="78"/>
        <v>0</v>
      </c>
      <c r="P248" s="143">
        <f>SUM(P249:P259)</f>
        <v>115535.8</v>
      </c>
      <c r="Q248" s="144">
        <f>SUM(Q249:Q259)</f>
        <v>115045.7</v>
      </c>
      <c r="R248" s="144">
        <f>SUM(R249:R259)</f>
        <v>490.1</v>
      </c>
      <c r="S248" s="171">
        <f>SUM(S249:S259)</f>
        <v>0</v>
      </c>
      <c r="T248" s="178"/>
      <c r="U248" s="167"/>
      <c r="V248" s="163"/>
      <c r="W248" s="187"/>
    </row>
    <row r="249" spans="1:23" ht="12.75">
      <c r="A249" s="47" t="s">
        <v>10</v>
      </c>
      <c r="B249" s="78">
        <v>59</v>
      </c>
      <c r="C249" s="75">
        <v>1</v>
      </c>
      <c r="D249" s="19">
        <f aca="true" t="shared" si="79" ref="D249:D256">E249+F249+G249</f>
        <v>10611.9</v>
      </c>
      <c r="E249" s="8">
        <v>10611.9</v>
      </c>
      <c r="F249" s="8"/>
      <c r="G249" s="18"/>
      <c r="H249" s="19"/>
      <c r="I249" s="8"/>
      <c r="J249" s="8"/>
      <c r="K249" s="18"/>
      <c r="L249" s="39">
        <f aca="true" t="shared" si="80" ref="L249:L256">M249+N249+O249</f>
        <v>12323.1</v>
      </c>
      <c r="M249" s="8">
        <v>12323.1</v>
      </c>
      <c r="N249" s="8"/>
      <c r="O249" s="14"/>
      <c r="P249" s="145">
        <f aca="true" t="shared" si="81" ref="P249:P256">Q249+R249+S249</f>
        <v>13379.4</v>
      </c>
      <c r="Q249" s="146">
        <v>13379.4</v>
      </c>
      <c r="R249" s="146"/>
      <c r="S249" s="172"/>
      <c r="T249" s="179"/>
      <c r="U249" s="168"/>
      <c r="V249" s="169"/>
      <c r="W249" s="190"/>
    </row>
    <row r="250" spans="1:23" ht="12.75">
      <c r="A250" s="47" t="s">
        <v>11</v>
      </c>
      <c r="B250" s="78">
        <v>59</v>
      </c>
      <c r="C250" s="75">
        <v>3</v>
      </c>
      <c r="D250" s="19">
        <f t="shared" si="79"/>
        <v>8.9</v>
      </c>
      <c r="E250" s="8">
        <v>8.9</v>
      </c>
      <c r="F250" s="8"/>
      <c r="G250" s="18"/>
      <c r="H250" s="19"/>
      <c r="I250" s="8"/>
      <c r="J250" s="8"/>
      <c r="K250" s="18"/>
      <c r="L250" s="39">
        <f t="shared" si="80"/>
        <v>7.6</v>
      </c>
      <c r="M250" s="8">
        <v>7.6</v>
      </c>
      <c r="N250" s="8"/>
      <c r="O250" s="14"/>
      <c r="P250" s="145">
        <f t="shared" si="81"/>
        <v>0</v>
      </c>
      <c r="Q250" s="146"/>
      <c r="R250" s="146"/>
      <c r="S250" s="172"/>
      <c r="T250" s="179"/>
      <c r="U250" s="168"/>
      <c r="V250" s="169"/>
      <c r="W250" s="190"/>
    </row>
    <row r="251" spans="1:23" ht="25.5">
      <c r="A251" s="47" t="s">
        <v>12</v>
      </c>
      <c r="B251" s="78">
        <v>59</v>
      </c>
      <c r="C251" s="75">
        <v>5</v>
      </c>
      <c r="D251" s="19">
        <f t="shared" si="79"/>
        <v>4472.2</v>
      </c>
      <c r="E251" s="8">
        <v>4472.2</v>
      </c>
      <c r="F251" s="8"/>
      <c r="G251" s="18"/>
      <c r="H251" s="19"/>
      <c r="I251" s="8"/>
      <c r="J251" s="8"/>
      <c r="K251" s="18"/>
      <c r="L251" s="39">
        <f t="shared" si="80"/>
        <v>5393.5</v>
      </c>
      <c r="M251" s="8">
        <v>5393.5</v>
      </c>
      <c r="N251" s="8"/>
      <c r="O251" s="14"/>
      <c r="P251" s="145">
        <f t="shared" si="81"/>
        <v>5343.9</v>
      </c>
      <c r="Q251" s="146">
        <v>5343.9</v>
      </c>
      <c r="R251" s="146"/>
      <c r="S251" s="172"/>
      <c r="T251" s="179"/>
      <c r="U251" s="168"/>
      <c r="V251" s="169"/>
      <c r="W251" s="190"/>
    </row>
    <row r="252" spans="1:23" ht="12.75">
      <c r="A252" s="47" t="s">
        <v>13</v>
      </c>
      <c r="B252" s="78">
        <v>59</v>
      </c>
      <c r="C252" s="75">
        <v>6</v>
      </c>
      <c r="D252" s="19">
        <f t="shared" si="79"/>
        <v>78651.90000000001</v>
      </c>
      <c r="E252" s="8">
        <f>77654.5+560.8</f>
        <v>78215.3</v>
      </c>
      <c r="F252" s="8">
        <v>436.6</v>
      </c>
      <c r="G252" s="18"/>
      <c r="H252" s="19"/>
      <c r="I252" s="8"/>
      <c r="J252" s="8"/>
      <c r="K252" s="18"/>
      <c r="L252" s="39">
        <f t="shared" si="80"/>
        <v>86592.5</v>
      </c>
      <c r="M252" s="8">
        <v>85992.8</v>
      </c>
      <c r="N252" s="8">
        <v>599.7</v>
      </c>
      <c r="O252" s="14"/>
      <c r="P252" s="145">
        <f t="shared" si="81"/>
        <v>82984.6</v>
      </c>
      <c r="Q252" s="146">
        <f>82984.6-436.6</f>
        <v>82548</v>
      </c>
      <c r="R252" s="146">
        <v>436.6</v>
      </c>
      <c r="S252" s="172"/>
      <c r="T252" s="179"/>
      <c r="U252" s="168"/>
      <c r="V252" s="169"/>
      <c r="W252" s="190"/>
    </row>
    <row r="253" spans="1:23" ht="25.5">
      <c r="A253" s="47" t="s">
        <v>14</v>
      </c>
      <c r="B253" s="78">
        <v>59</v>
      </c>
      <c r="C253" s="75">
        <v>8</v>
      </c>
      <c r="D253" s="19">
        <f t="shared" si="79"/>
        <v>4352.7</v>
      </c>
      <c r="E253" s="8">
        <f>4207.2+124.4</f>
        <v>4331.599999999999</v>
      </c>
      <c r="F253" s="8">
        <v>21.1</v>
      </c>
      <c r="G253" s="18"/>
      <c r="H253" s="19"/>
      <c r="I253" s="8"/>
      <c r="J253" s="8"/>
      <c r="K253" s="18"/>
      <c r="L253" s="39">
        <f t="shared" si="80"/>
        <v>5909.3</v>
      </c>
      <c r="M253" s="8">
        <v>5889.3</v>
      </c>
      <c r="N253" s="8">
        <v>20</v>
      </c>
      <c r="O253" s="14"/>
      <c r="P253" s="145">
        <f t="shared" si="81"/>
        <v>5103</v>
      </c>
      <c r="Q253" s="146">
        <f>5103-21.1</f>
        <v>5081.9</v>
      </c>
      <c r="R253" s="146">
        <v>21.1</v>
      </c>
      <c r="S253" s="172"/>
      <c r="T253" s="179"/>
      <c r="U253" s="168"/>
      <c r="V253" s="169"/>
      <c r="W253" s="190"/>
    </row>
    <row r="254" spans="1:23" ht="12.75">
      <c r="A254" s="47" t="s">
        <v>16</v>
      </c>
      <c r="B254" s="78">
        <v>59</v>
      </c>
      <c r="C254" s="75">
        <v>10</v>
      </c>
      <c r="D254" s="19">
        <f t="shared" si="79"/>
        <v>4230.3</v>
      </c>
      <c r="E254" s="8">
        <f>3866.3+331.6</f>
        <v>4197.900000000001</v>
      </c>
      <c r="F254" s="8">
        <v>32.4</v>
      </c>
      <c r="G254" s="18"/>
      <c r="H254" s="19"/>
      <c r="I254" s="8"/>
      <c r="J254" s="8"/>
      <c r="K254" s="18"/>
      <c r="L254" s="39">
        <f t="shared" si="80"/>
        <v>5102.5</v>
      </c>
      <c r="M254" s="8">
        <v>5102.5</v>
      </c>
      <c r="N254" s="8"/>
      <c r="O254" s="14"/>
      <c r="P254" s="145">
        <f t="shared" si="81"/>
        <v>5012</v>
      </c>
      <c r="Q254" s="146">
        <f>4558.3+421.3</f>
        <v>4979.6</v>
      </c>
      <c r="R254" s="146">
        <v>32.4</v>
      </c>
      <c r="S254" s="172"/>
      <c r="T254" s="179"/>
      <c r="U254" s="168"/>
      <c r="V254" s="169"/>
      <c r="W254" s="190"/>
    </row>
    <row r="255" spans="1:23" ht="25.5">
      <c r="A255" s="47" t="s">
        <v>17</v>
      </c>
      <c r="B255" s="78">
        <v>59</v>
      </c>
      <c r="C255" s="75">
        <v>11</v>
      </c>
      <c r="D255" s="19">
        <f t="shared" si="79"/>
        <v>231.9</v>
      </c>
      <c r="E255" s="8">
        <v>231.9</v>
      </c>
      <c r="F255" s="8"/>
      <c r="G255" s="18"/>
      <c r="H255" s="19"/>
      <c r="I255" s="8"/>
      <c r="J255" s="8"/>
      <c r="K255" s="18"/>
      <c r="L255" s="39">
        <f t="shared" si="80"/>
        <v>379.2</v>
      </c>
      <c r="M255" s="8">
        <v>379.2</v>
      </c>
      <c r="N255" s="8"/>
      <c r="O255" s="14"/>
      <c r="P255" s="145">
        <f t="shared" si="81"/>
        <v>299.1</v>
      </c>
      <c r="Q255" s="146">
        <v>299.1</v>
      </c>
      <c r="R255" s="146"/>
      <c r="S255" s="172"/>
      <c r="T255" s="179"/>
      <c r="U255" s="168"/>
      <c r="V255" s="169"/>
      <c r="W255" s="190"/>
    </row>
    <row r="256" spans="1:23" ht="12.75">
      <c r="A256" s="47" t="s">
        <v>19</v>
      </c>
      <c r="B256" s="78">
        <v>59</v>
      </c>
      <c r="C256" s="75">
        <v>13</v>
      </c>
      <c r="D256" s="19">
        <f t="shared" si="79"/>
        <v>133.4</v>
      </c>
      <c r="E256" s="8">
        <v>133.4</v>
      </c>
      <c r="F256" s="8"/>
      <c r="G256" s="18"/>
      <c r="H256" s="19"/>
      <c r="I256" s="8"/>
      <c r="J256" s="8"/>
      <c r="K256" s="18"/>
      <c r="L256" s="39">
        <f t="shared" si="80"/>
        <v>0</v>
      </c>
      <c r="M256" s="8"/>
      <c r="N256" s="8"/>
      <c r="O256" s="14"/>
      <c r="P256" s="145">
        <f t="shared" si="81"/>
        <v>178.2</v>
      </c>
      <c r="Q256" s="146">
        <v>178.2</v>
      </c>
      <c r="R256" s="146"/>
      <c r="S256" s="172"/>
      <c r="T256" s="179"/>
      <c r="U256" s="168"/>
      <c r="V256" s="169"/>
      <c r="W256" s="190"/>
    </row>
    <row r="257" spans="1:23" ht="25.5">
      <c r="A257" s="47" t="s">
        <v>27</v>
      </c>
      <c r="B257" s="78">
        <v>59</v>
      </c>
      <c r="C257" s="75">
        <v>15</v>
      </c>
      <c r="D257" s="19">
        <f>E257+F257+G257</f>
        <v>0</v>
      </c>
      <c r="E257" s="8"/>
      <c r="F257" s="8"/>
      <c r="G257" s="18"/>
      <c r="H257" s="19"/>
      <c r="I257" s="8"/>
      <c r="J257" s="8"/>
      <c r="K257" s="18"/>
      <c r="L257" s="39">
        <f>M257+N257+O257</f>
        <v>130.7</v>
      </c>
      <c r="M257" s="8">
        <v>52.3</v>
      </c>
      <c r="N257" s="8">
        <v>78.4</v>
      </c>
      <c r="O257" s="14"/>
      <c r="P257" s="145">
        <f>Q257+R257+S257</f>
        <v>0</v>
      </c>
      <c r="Q257" s="146">
        <v>0</v>
      </c>
      <c r="R257" s="146">
        <v>0</v>
      </c>
      <c r="S257" s="172"/>
      <c r="T257" s="179"/>
      <c r="U257" s="168"/>
      <c r="V257" s="169"/>
      <c r="W257" s="190"/>
    </row>
    <row r="258" spans="1:23" ht="25.5">
      <c r="A258" s="47" t="s">
        <v>22</v>
      </c>
      <c r="B258" s="78">
        <v>59</v>
      </c>
      <c r="C258" s="75">
        <v>19</v>
      </c>
      <c r="D258" s="19">
        <f>E258+F258+G258</f>
        <v>53.9</v>
      </c>
      <c r="E258" s="8">
        <v>53.9</v>
      </c>
      <c r="F258" s="8"/>
      <c r="G258" s="18"/>
      <c r="H258" s="19"/>
      <c r="I258" s="8"/>
      <c r="J258" s="8"/>
      <c r="K258" s="18"/>
      <c r="L258" s="39">
        <f>M258+N258+O258</f>
        <v>0</v>
      </c>
      <c r="M258" s="8"/>
      <c r="N258" s="8"/>
      <c r="O258" s="14"/>
      <c r="P258" s="145">
        <f>Q258+R258+S258</f>
        <v>70.7</v>
      </c>
      <c r="Q258" s="146">
        <v>70.7</v>
      </c>
      <c r="R258" s="146"/>
      <c r="S258" s="172"/>
      <c r="T258" s="179"/>
      <c r="U258" s="168"/>
      <c r="V258" s="169"/>
      <c r="W258" s="190"/>
    </row>
    <row r="259" spans="1:23" ht="25.5">
      <c r="A259" s="47" t="s">
        <v>23</v>
      </c>
      <c r="B259" s="78">
        <v>59</v>
      </c>
      <c r="C259" s="75">
        <v>20</v>
      </c>
      <c r="D259" s="19">
        <f>E259+F259+G259</f>
        <v>3182.7999999999997</v>
      </c>
      <c r="E259" s="8">
        <f>2550+1052.2-419.4</f>
        <v>3182.7999999999997</v>
      </c>
      <c r="F259" s="8"/>
      <c r="G259" s="18"/>
      <c r="H259" s="19"/>
      <c r="I259" s="8"/>
      <c r="J259" s="8"/>
      <c r="K259" s="18"/>
      <c r="L259" s="39">
        <f>M259+N259+O259</f>
        <v>4096.5</v>
      </c>
      <c r="M259" s="8">
        <v>4065.8</v>
      </c>
      <c r="N259" s="8">
        <v>30.7</v>
      </c>
      <c r="O259" s="14"/>
      <c r="P259" s="145">
        <f>Q259+R259+S259</f>
        <v>3164.9</v>
      </c>
      <c r="Q259" s="146">
        <v>3164.9</v>
      </c>
      <c r="R259" s="146"/>
      <c r="S259" s="172"/>
      <c r="T259" s="181"/>
      <c r="U259" s="168"/>
      <c r="V259" s="169"/>
      <c r="W259" s="188"/>
    </row>
    <row r="260" spans="1:23" s="12" customFormat="1" ht="15">
      <c r="A260" s="45" t="s">
        <v>43</v>
      </c>
      <c r="B260" s="70">
        <v>61</v>
      </c>
      <c r="C260" s="79"/>
      <c r="D260" s="33"/>
      <c r="E260" s="11"/>
      <c r="F260" s="11"/>
      <c r="G260" s="31"/>
      <c r="H260" s="33"/>
      <c r="I260" s="11"/>
      <c r="J260" s="11"/>
      <c r="K260" s="31"/>
      <c r="L260" s="40"/>
      <c r="M260" s="11"/>
      <c r="N260" s="11"/>
      <c r="O260" s="35"/>
      <c r="P260" s="40"/>
      <c r="Q260" s="11"/>
      <c r="R260" s="11"/>
      <c r="S260" s="35"/>
      <c r="T260" s="178"/>
      <c r="U260" s="167"/>
      <c r="V260" s="163"/>
      <c r="W260" s="187"/>
    </row>
    <row r="261" spans="1:23" s="6" customFormat="1" ht="12.75">
      <c r="A261" s="46" t="s">
        <v>8</v>
      </c>
      <c r="B261" s="77">
        <v>61</v>
      </c>
      <c r="C261" s="73" t="s">
        <v>9</v>
      </c>
      <c r="D261" s="17">
        <f>SUM(D262:D271)</f>
        <v>75466.4</v>
      </c>
      <c r="E261" s="5">
        <f>SUM(E262:E271)</f>
        <v>75304.2</v>
      </c>
      <c r="F261" s="5">
        <f>SUM(F262:F271)</f>
        <v>162.2</v>
      </c>
      <c r="G261" s="16">
        <f>SUM(G262:G271)</f>
        <v>0</v>
      </c>
      <c r="H261" s="17">
        <f aca="true" t="shared" si="82" ref="H261:O261">SUM(H262:H271)</f>
        <v>0</v>
      </c>
      <c r="I261" s="5">
        <f t="shared" si="82"/>
        <v>0</v>
      </c>
      <c r="J261" s="5">
        <f t="shared" si="82"/>
        <v>0</v>
      </c>
      <c r="K261" s="16">
        <f t="shared" si="82"/>
        <v>0</v>
      </c>
      <c r="L261" s="38">
        <f t="shared" si="82"/>
        <v>82834.30000000002</v>
      </c>
      <c r="M261" s="5">
        <f t="shared" si="82"/>
        <v>82629.60000000002</v>
      </c>
      <c r="N261" s="5">
        <f t="shared" si="82"/>
        <v>204.70000000000002</v>
      </c>
      <c r="O261" s="13">
        <f t="shared" si="82"/>
        <v>0</v>
      </c>
      <c r="P261" s="143">
        <f>SUM(P262:P271)</f>
        <v>83197.90000000001</v>
      </c>
      <c r="Q261" s="144">
        <f>SUM(Q262:Q271)</f>
        <v>83035.70000000001</v>
      </c>
      <c r="R261" s="144">
        <f>SUM(R262:R271)</f>
        <v>162.2</v>
      </c>
      <c r="S261" s="171">
        <f>SUM(S262:S271)</f>
        <v>0</v>
      </c>
      <c r="T261" s="178"/>
      <c r="U261" s="167"/>
      <c r="V261" s="163"/>
      <c r="W261" s="187"/>
    </row>
    <row r="262" spans="1:23" ht="12.75">
      <c r="A262" s="47" t="s">
        <v>10</v>
      </c>
      <c r="B262" s="78">
        <v>61</v>
      </c>
      <c r="C262" s="75">
        <v>1</v>
      </c>
      <c r="D262" s="19">
        <f aca="true" t="shared" si="83" ref="D262:D271">E262+F262+G262</f>
        <v>6217.9</v>
      </c>
      <c r="E262" s="8">
        <v>6217.9</v>
      </c>
      <c r="F262" s="8"/>
      <c r="G262" s="18"/>
      <c r="H262" s="19"/>
      <c r="I262" s="8"/>
      <c r="J262" s="8"/>
      <c r="K262" s="18"/>
      <c r="L262" s="39">
        <f aca="true" t="shared" si="84" ref="L262:L271">M262+N262+O262</f>
        <v>7836</v>
      </c>
      <c r="M262" s="8">
        <v>7836</v>
      </c>
      <c r="N262" s="8"/>
      <c r="O262" s="14"/>
      <c r="P262" s="145">
        <f aca="true" t="shared" si="85" ref="P262:P271">Q262+R262+S262</f>
        <v>7769.5</v>
      </c>
      <c r="Q262" s="146">
        <v>7769.5</v>
      </c>
      <c r="R262" s="146"/>
      <c r="S262" s="172"/>
      <c r="T262" s="179"/>
      <c r="U262" s="168"/>
      <c r="V262" s="169"/>
      <c r="W262" s="190"/>
    </row>
    <row r="263" spans="1:23" ht="25.5">
      <c r="A263" s="47" t="s">
        <v>12</v>
      </c>
      <c r="B263" s="78">
        <v>61</v>
      </c>
      <c r="C263" s="75">
        <v>5</v>
      </c>
      <c r="D263" s="19">
        <f t="shared" si="83"/>
        <v>2333</v>
      </c>
      <c r="E263" s="8">
        <v>2333</v>
      </c>
      <c r="F263" s="8"/>
      <c r="G263" s="18"/>
      <c r="H263" s="19"/>
      <c r="I263" s="8"/>
      <c r="J263" s="8"/>
      <c r="K263" s="18"/>
      <c r="L263" s="39">
        <f t="shared" si="84"/>
        <v>2883.2</v>
      </c>
      <c r="M263" s="8">
        <v>2883.2</v>
      </c>
      <c r="N263" s="8"/>
      <c r="O263" s="14"/>
      <c r="P263" s="145">
        <f t="shared" si="85"/>
        <v>2814.3</v>
      </c>
      <c r="Q263" s="146">
        <v>2814.3</v>
      </c>
      <c r="R263" s="146"/>
      <c r="S263" s="172"/>
      <c r="T263" s="179"/>
      <c r="U263" s="168"/>
      <c r="V263" s="169"/>
      <c r="W263" s="190"/>
    </row>
    <row r="264" spans="1:23" ht="12.75">
      <c r="A264" s="47" t="s">
        <v>13</v>
      </c>
      <c r="B264" s="78">
        <v>61</v>
      </c>
      <c r="C264" s="75">
        <v>6</v>
      </c>
      <c r="D264" s="19">
        <f t="shared" si="83"/>
        <v>59337.9</v>
      </c>
      <c r="E264" s="8">
        <f>58775.8+440.6</f>
        <v>59216.4</v>
      </c>
      <c r="F264" s="8">
        <v>121.5</v>
      </c>
      <c r="G264" s="18"/>
      <c r="H264" s="19"/>
      <c r="I264" s="8"/>
      <c r="J264" s="8"/>
      <c r="K264" s="18"/>
      <c r="L264" s="39">
        <f t="shared" si="84"/>
        <v>61508.4</v>
      </c>
      <c r="M264" s="8">
        <v>61410.5</v>
      </c>
      <c r="N264" s="8">
        <v>97.9</v>
      </c>
      <c r="O264" s="14"/>
      <c r="P264" s="145">
        <f t="shared" si="85"/>
        <v>62347</v>
      </c>
      <c r="Q264" s="146">
        <f>62347-121.5</f>
        <v>62225.5</v>
      </c>
      <c r="R264" s="146">
        <v>121.5</v>
      </c>
      <c r="S264" s="172"/>
      <c r="T264" s="179"/>
      <c r="U264" s="168"/>
      <c r="V264" s="169"/>
      <c r="W264" s="190"/>
    </row>
    <row r="265" spans="1:23" ht="25.5">
      <c r="A265" s="47" t="s">
        <v>14</v>
      </c>
      <c r="B265" s="78">
        <v>61</v>
      </c>
      <c r="C265" s="75">
        <v>8</v>
      </c>
      <c r="D265" s="19">
        <f t="shared" si="83"/>
        <v>3364.5</v>
      </c>
      <c r="E265" s="8">
        <f>3199.4+124.4</f>
        <v>3323.8</v>
      </c>
      <c r="F265" s="8">
        <v>40.7</v>
      </c>
      <c r="G265" s="18"/>
      <c r="H265" s="19"/>
      <c r="I265" s="8"/>
      <c r="J265" s="8"/>
      <c r="K265" s="18"/>
      <c r="L265" s="39">
        <f t="shared" si="84"/>
        <v>4522.9</v>
      </c>
      <c r="M265" s="8">
        <v>4479.5</v>
      </c>
      <c r="N265" s="8">
        <v>43.4</v>
      </c>
      <c r="O265" s="14"/>
      <c r="P265" s="145">
        <f t="shared" si="85"/>
        <v>3846.5</v>
      </c>
      <c r="Q265" s="146">
        <f>3846.5-40.7</f>
        <v>3805.8</v>
      </c>
      <c r="R265" s="146">
        <v>40.7</v>
      </c>
      <c r="S265" s="172"/>
      <c r="T265" s="179"/>
      <c r="U265" s="168"/>
      <c r="V265" s="169"/>
      <c r="W265" s="190"/>
    </row>
    <row r="266" spans="1:23" ht="12.75">
      <c r="A266" s="47" t="s">
        <v>16</v>
      </c>
      <c r="B266" s="78">
        <v>61</v>
      </c>
      <c r="C266" s="75">
        <v>10</v>
      </c>
      <c r="D266" s="19">
        <f t="shared" si="83"/>
        <v>2378.6</v>
      </c>
      <c r="E266" s="8">
        <f>2047+331.6</f>
        <v>2378.6</v>
      </c>
      <c r="F266" s="8"/>
      <c r="G266" s="18"/>
      <c r="H266" s="19"/>
      <c r="I266" s="8"/>
      <c r="J266" s="8"/>
      <c r="K266" s="18"/>
      <c r="L266" s="39">
        <f t="shared" si="84"/>
        <v>3660.3</v>
      </c>
      <c r="M266" s="8">
        <v>3660.3</v>
      </c>
      <c r="N266" s="8"/>
      <c r="O266" s="14"/>
      <c r="P266" s="145">
        <f t="shared" si="85"/>
        <v>4514.6</v>
      </c>
      <c r="Q266" s="146">
        <f>4093.3+421.3</f>
        <v>4514.6</v>
      </c>
      <c r="R266" s="146"/>
      <c r="S266" s="172"/>
      <c r="T266" s="179"/>
      <c r="U266" s="168"/>
      <c r="V266" s="169"/>
      <c r="W266" s="190"/>
    </row>
    <row r="267" spans="1:23" ht="25.5">
      <c r="A267" s="47" t="s">
        <v>17</v>
      </c>
      <c r="B267" s="78">
        <v>61</v>
      </c>
      <c r="C267" s="75">
        <v>11</v>
      </c>
      <c r="D267" s="19">
        <f t="shared" si="83"/>
        <v>231.9</v>
      </c>
      <c r="E267" s="8">
        <v>231.9</v>
      </c>
      <c r="F267" s="8"/>
      <c r="G267" s="18"/>
      <c r="H267" s="19"/>
      <c r="I267" s="8"/>
      <c r="J267" s="8"/>
      <c r="K267" s="18"/>
      <c r="L267" s="39">
        <f t="shared" si="84"/>
        <v>312.8</v>
      </c>
      <c r="M267" s="8">
        <v>312.8</v>
      </c>
      <c r="N267" s="8"/>
      <c r="O267" s="14"/>
      <c r="P267" s="145">
        <f t="shared" si="85"/>
        <v>299.1</v>
      </c>
      <c r="Q267" s="146">
        <v>299.1</v>
      </c>
      <c r="R267" s="146"/>
      <c r="S267" s="172"/>
      <c r="T267" s="179"/>
      <c r="U267" s="168"/>
      <c r="V267" s="169"/>
      <c r="W267" s="190"/>
    </row>
    <row r="268" spans="1:23" ht="12.75">
      <c r="A268" s="47" t="s">
        <v>19</v>
      </c>
      <c r="B268" s="78">
        <v>61</v>
      </c>
      <c r="C268" s="75">
        <v>13</v>
      </c>
      <c r="D268" s="19">
        <f t="shared" si="83"/>
        <v>133.4</v>
      </c>
      <c r="E268" s="8">
        <v>133.4</v>
      </c>
      <c r="F268" s="8"/>
      <c r="G268" s="18"/>
      <c r="H268" s="19"/>
      <c r="I268" s="8"/>
      <c r="J268" s="8"/>
      <c r="K268" s="18"/>
      <c r="L268" s="39">
        <f t="shared" si="84"/>
        <v>155.6</v>
      </c>
      <c r="M268" s="8">
        <v>155.6</v>
      </c>
      <c r="N268" s="8"/>
      <c r="O268" s="14"/>
      <c r="P268" s="145">
        <f t="shared" si="85"/>
        <v>178.2</v>
      </c>
      <c r="Q268" s="146">
        <v>178.2</v>
      </c>
      <c r="R268" s="146"/>
      <c r="S268" s="172"/>
      <c r="T268" s="179"/>
      <c r="U268" s="168"/>
      <c r="V268" s="169"/>
      <c r="W268" s="190"/>
    </row>
    <row r="269" spans="1:23" ht="25.5">
      <c r="A269" s="47" t="s">
        <v>27</v>
      </c>
      <c r="B269" s="78">
        <v>61</v>
      </c>
      <c r="C269" s="75">
        <v>15</v>
      </c>
      <c r="D269" s="19">
        <f t="shared" si="83"/>
        <v>0</v>
      </c>
      <c r="E269" s="8"/>
      <c r="F269" s="8"/>
      <c r="G269" s="18"/>
      <c r="H269" s="19"/>
      <c r="I269" s="8"/>
      <c r="J269" s="8"/>
      <c r="K269" s="18"/>
      <c r="L269" s="39">
        <f t="shared" si="84"/>
        <v>84.4</v>
      </c>
      <c r="M269" s="8">
        <v>21</v>
      </c>
      <c r="N269" s="8">
        <v>63.4</v>
      </c>
      <c r="O269" s="14"/>
      <c r="P269" s="145">
        <f t="shared" si="85"/>
        <v>0</v>
      </c>
      <c r="Q269" s="146">
        <v>0</v>
      </c>
      <c r="R269" s="146">
        <v>0</v>
      </c>
      <c r="S269" s="172"/>
      <c r="T269" s="179"/>
      <c r="U269" s="168"/>
      <c r="V269" s="169"/>
      <c r="W269" s="190"/>
    </row>
    <row r="270" spans="1:23" ht="25.5">
      <c r="A270" s="47" t="s">
        <v>22</v>
      </c>
      <c r="B270" s="78">
        <v>61</v>
      </c>
      <c r="C270" s="75">
        <v>19</v>
      </c>
      <c r="D270" s="19">
        <f t="shared" si="83"/>
        <v>53.9</v>
      </c>
      <c r="E270" s="8">
        <v>53.9</v>
      </c>
      <c r="F270" s="8"/>
      <c r="G270" s="18"/>
      <c r="H270" s="19"/>
      <c r="I270" s="8"/>
      <c r="J270" s="8"/>
      <c r="K270" s="18"/>
      <c r="L270" s="39">
        <f t="shared" si="84"/>
        <v>66.6</v>
      </c>
      <c r="M270" s="8">
        <v>66.6</v>
      </c>
      <c r="N270" s="8"/>
      <c r="O270" s="14"/>
      <c r="P270" s="145">
        <f t="shared" si="85"/>
        <v>70.7</v>
      </c>
      <c r="Q270" s="146">
        <v>70.7</v>
      </c>
      <c r="R270" s="146"/>
      <c r="S270" s="172"/>
      <c r="T270" s="179"/>
      <c r="U270" s="168"/>
      <c r="V270" s="169"/>
      <c r="W270" s="190"/>
    </row>
    <row r="271" spans="1:23" ht="25.5">
      <c r="A271" s="47" t="s">
        <v>23</v>
      </c>
      <c r="B271" s="78">
        <v>61</v>
      </c>
      <c r="C271" s="75">
        <v>20</v>
      </c>
      <c r="D271" s="19">
        <f t="shared" si="83"/>
        <v>1415.3</v>
      </c>
      <c r="E271" s="8">
        <f>1094.1+451.4-130.2</f>
        <v>1415.3</v>
      </c>
      <c r="F271" s="8"/>
      <c r="G271" s="18"/>
      <c r="H271" s="19"/>
      <c r="I271" s="8"/>
      <c r="J271" s="8"/>
      <c r="K271" s="18"/>
      <c r="L271" s="39">
        <f t="shared" si="84"/>
        <v>1804.1</v>
      </c>
      <c r="M271" s="8">
        <v>1804.1</v>
      </c>
      <c r="N271" s="8"/>
      <c r="O271" s="14"/>
      <c r="P271" s="145">
        <f t="shared" si="85"/>
        <v>1358</v>
      </c>
      <c r="Q271" s="146">
        <v>1358</v>
      </c>
      <c r="R271" s="146"/>
      <c r="S271" s="172"/>
      <c r="T271" s="181"/>
      <c r="U271" s="168"/>
      <c r="V271" s="169"/>
      <c r="W271" s="188"/>
    </row>
    <row r="272" spans="1:23" s="12" customFormat="1" ht="15">
      <c r="A272" s="45" t="s">
        <v>44</v>
      </c>
      <c r="B272" s="70">
        <v>65</v>
      </c>
      <c r="C272" s="79"/>
      <c r="D272" s="33"/>
      <c r="E272" s="11"/>
      <c r="F272" s="11"/>
      <c r="G272" s="31"/>
      <c r="H272" s="33"/>
      <c r="I272" s="11"/>
      <c r="J272" s="11"/>
      <c r="K272" s="31"/>
      <c r="L272" s="40"/>
      <c r="M272" s="11"/>
      <c r="N272" s="11"/>
      <c r="O272" s="35"/>
      <c r="P272" s="40"/>
      <c r="Q272" s="11"/>
      <c r="R272" s="11"/>
      <c r="S272" s="35"/>
      <c r="T272" s="178"/>
      <c r="U272" s="167"/>
      <c r="V272" s="163"/>
      <c r="W272" s="187"/>
    </row>
    <row r="273" spans="1:23" s="6" customFormat="1" ht="12.75">
      <c r="A273" s="46" t="s">
        <v>8</v>
      </c>
      <c r="B273" s="77">
        <v>65</v>
      </c>
      <c r="C273" s="73" t="s">
        <v>9</v>
      </c>
      <c r="D273" s="17">
        <f>SUM(D274:D285)</f>
        <v>126415.69999999998</v>
      </c>
      <c r="E273" s="5">
        <f>SUM(E274:E285)</f>
        <v>126177.89999999998</v>
      </c>
      <c r="F273" s="5">
        <f>SUM(F274:F285)</f>
        <v>237.8</v>
      </c>
      <c r="G273" s="16">
        <f>SUM(G274:G285)</f>
        <v>0</v>
      </c>
      <c r="H273" s="17">
        <f aca="true" t="shared" si="86" ref="H273:O273">SUM(H274:H285)</f>
        <v>0</v>
      </c>
      <c r="I273" s="5">
        <f t="shared" si="86"/>
        <v>0</v>
      </c>
      <c r="J273" s="5">
        <f t="shared" si="86"/>
        <v>0</v>
      </c>
      <c r="K273" s="16">
        <f t="shared" si="86"/>
        <v>0</v>
      </c>
      <c r="L273" s="38">
        <f t="shared" si="86"/>
        <v>135055.8</v>
      </c>
      <c r="M273" s="5">
        <f t="shared" si="86"/>
        <v>134029.80000000002</v>
      </c>
      <c r="N273" s="5">
        <f t="shared" si="86"/>
        <v>1026</v>
      </c>
      <c r="O273" s="13">
        <f t="shared" si="86"/>
        <v>0</v>
      </c>
      <c r="P273" s="143">
        <f>SUM(P274:P285)</f>
        <v>139056.9</v>
      </c>
      <c r="Q273" s="144">
        <f>SUM(Q274:Q285)</f>
        <v>138819.1</v>
      </c>
      <c r="R273" s="144">
        <f>SUM(R274:R285)</f>
        <v>237.8</v>
      </c>
      <c r="S273" s="171">
        <f>SUM(S274:S285)</f>
        <v>0</v>
      </c>
      <c r="T273" s="178"/>
      <c r="U273" s="167"/>
      <c r="V273" s="163"/>
      <c r="W273" s="187"/>
    </row>
    <row r="274" spans="1:23" ht="12.75">
      <c r="A274" s="47" t="s">
        <v>10</v>
      </c>
      <c r="B274" s="78">
        <v>65</v>
      </c>
      <c r="C274" s="75">
        <v>1</v>
      </c>
      <c r="D274" s="19">
        <f aca="true" t="shared" si="87" ref="D274:D285">E274+F274+G274</f>
        <v>11192.3</v>
      </c>
      <c r="E274" s="8">
        <v>11192.3</v>
      </c>
      <c r="F274" s="8"/>
      <c r="G274" s="18"/>
      <c r="H274" s="19"/>
      <c r="I274" s="8"/>
      <c r="J274" s="8"/>
      <c r="K274" s="18"/>
      <c r="L274" s="39">
        <f aca="true" t="shared" si="88" ref="L274:L285">M274+N274+O274</f>
        <v>13833.1</v>
      </c>
      <c r="M274" s="8">
        <v>13833.1</v>
      </c>
      <c r="N274" s="8"/>
      <c r="O274" s="14"/>
      <c r="P274" s="145">
        <f aca="true" t="shared" si="89" ref="P274:P285">Q274+R274+S274</f>
        <v>14195.9</v>
      </c>
      <c r="Q274" s="146">
        <v>14195.9</v>
      </c>
      <c r="R274" s="146"/>
      <c r="S274" s="172"/>
      <c r="T274" s="179"/>
      <c r="U274" s="168"/>
      <c r="V274" s="169"/>
      <c r="W274" s="190"/>
    </row>
    <row r="275" spans="1:23" ht="12.75">
      <c r="A275" s="47" t="s">
        <v>11</v>
      </c>
      <c r="B275" s="78">
        <v>65</v>
      </c>
      <c r="C275" s="75">
        <v>3</v>
      </c>
      <c r="D275" s="19">
        <f t="shared" si="87"/>
        <v>107.3</v>
      </c>
      <c r="E275" s="8">
        <v>107.3</v>
      </c>
      <c r="F275" s="8"/>
      <c r="G275" s="18"/>
      <c r="H275" s="19"/>
      <c r="I275" s="8"/>
      <c r="J275" s="8"/>
      <c r="K275" s="18"/>
      <c r="L275" s="39">
        <f t="shared" si="88"/>
        <v>135.7</v>
      </c>
      <c r="M275" s="8">
        <v>135.7</v>
      </c>
      <c r="N275" s="8"/>
      <c r="O275" s="14"/>
      <c r="P275" s="145">
        <f t="shared" si="89"/>
        <v>123.1</v>
      </c>
      <c r="Q275" s="146">
        <v>123.1</v>
      </c>
      <c r="R275" s="146"/>
      <c r="S275" s="172"/>
      <c r="T275" s="179"/>
      <c r="U275" s="168"/>
      <c r="V275" s="169"/>
      <c r="W275" s="190"/>
    </row>
    <row r="276" spans="1:23" ht="25.5">
      <c r="A276" s="47" t="s">
        <v>12</v>
      </c>
      <c r="B276" s="78">
        <v>65</v>
      </c>
      <c r="C276" s="75">
        <v>5</v>
      </c>
      <c r="D276" s="19">
        <f t="shared" si="87"/>
        <v>4640</v>
      </c>
      <c r="E276" s="8">
        <v>4640</v>
      </c>
      <c r="F276" s="8"/>
      <c r="G276" s="18"/>
      <c r="H276" s="19"/>
      <c r="I276" s="8"/>
      <c r="J276" s="8"/>
      <c r="K276" s="18"/>
      <c r="L276" s="39">
        <f t="shared" si="88"/>
        <v>6000</v>
      </c>
      <c r="M276" s="8">
        <v>6000</v>
      </c>
      <c r="N276" s="8"/>
      <c r="O276" s="14"/>
      <c r="P276" s="145">
        <f t="shared" si="89"/>
        <v>5694.6</v>
      </c>
      <c r="Q276" s="146">
        <v>5694.6</v>
      </c>
      <c r="R276" s="146"/>
      <c r="S276" s="172"/>
      <c r="T276" s="179"/>
      <c r="U276" s="168"/>
      <c r="V276" s="169"/>
      <c r="W276" s="190"/>
    </row>
    <row r="277" spans="1:23" ht="12.75">
      <c r="A277" s="47" t="s">
        <v>13</v>
      </c>
      <c r="B277" s="78">
        <v>65</v>
      </c>
      <c r="C277" s="75">
        <v>6</v>
      </c>
      <c r="D277" s="19">
        <f t="shared" si="87"/>
        <v>96110.7</v>
      </c>
      <c r="E277" s="8">
        <f>95372+560.8</f>
        <v>95932.8</v>
      </c>
      <c r="F277" s="8">
        <v>177.9</v>
      </c>
      <c r="G277" s="18"/>
      <c r="H277" s="19"/>
      <c r="I277" s="8"/>
      <c r="J277" s="8"/>
      <c r="K277" s="18"/>
      <c r="L277" s="39">
        <f t="shared" si="88"/>
        <v>97297.7</v>
      </c>
      <c r="M277" s="8">
        <v>96697.8</v>
      </c>
      <c r="N277" s="8">
        <v>599.9</v>
      </c>
      <c r="O277" s="14"/>
      <c r="P277" s="145">
        <f t="shared" si="89"/>
        <v>102324.4</v>
      </c>
      <c r="Q277" s="146">
        <f>102324.4-177.9</f>
        <v>102146.5</v>
      </c>
      <c r="R277" s="146">
        <v>177.9</v>
      </c>
      <c r="S277" s="172"/>
      <c r="T277" s="179"/>
      <c r="U277" s="168"/>
      <c r="V277" s="169"/>
      <c r="W277" s="190"/>
    </row>
    <row r="278" spans="1:23" ht="25.5">
      <c r="A278" s="47" t="s">
        <v>14</v>
      </c>
      <c r="B278" s="78">
        <v>65</v>
      </c>
      <c r="C278" s="75">
        <v>8</v>
      </c>
      <c r="D278" s="19">
        <f t="shared" si="87"/>
        <v>5225.099999999999</v>
      </c>
      <c r="E278" s="8">
        <f>5081.3+124.4</f>
        <v>5205.7</v>
      </c>
      <c r="F278" s="8">
        <v>19.4</v>
      </c>
      <c r="G278" s="18"/>
      <c r="H278" s="19"/>
      <c r="I278" s="8"/>
      <c r="J278" s="8"/>
      <c r="K278" s="18"/>
      <c r="L278" s="39">
        <f t="shared" si="88"/>
        <v>7348.4</v>
      </c>
      <c r="M278" s="8">
        <v>7306.2</v>
      </c>
      <c r="N278" s="8">
        <v>42.2</v>
      </c>
      <c r="O278" s="14"/>
      <c r="P278" s="145">
        <f t="shared" si="89"/>
        <v>6336</v>
      </c>
      <c r="Q278" s="146">
        <f>6336-19.4</f>
        <v>6316.6</v>
      </c>
      <c r="R278" s="146">
        <v>19.4</v>
      </c>
      <c r="S278" s="172"/>
      <c r="T278" s="179"/>
      <c r="U278" s="168"/>
      <c r="V278" s="169"/>
      <c r="W278" s="190"/>
    </row>
    <row r="279" spans="1:23" ht="12.75">
      <c r="A279" s="47" t="s">
        <v>16</v>
      </c>
      <c r="B279" s="78">
        <v>65</v>
      </c>
      <c r="C279" s="75">
        <v>10</v>
      </c>
      <c r="D279" s="19">
        <f t="shared" si="87"/>
        <v>5664.8</v>
      </c>
      <c r="E279" s="8">
        <f>5209.8+414.5</f>
        <v>5624.3</v>
      </c>
      <c r="F279" s="8">
        <v>40.5</v>
      </c>
      <c r="G279" s="18"/>
      <c r="H279" s="19"/>
      <c r="I279" s="8"/>
      <c r="J279" s="8"/>
      <c r="K279" s="18"/>
      <c r="L279" s="39">
        <f t="shared" si="88"/>
        <v>6288.5</v>
      </c>
      <c r="M279" s="8">
        <v>6288.5</v>
      </c>
      <c r="N279" s="8"/>
      <c r="O279" s="14"/>
      <c r="P279" s="145">
        <f t="shared" si="89"/>
        <v>6594.900000000001</v>
      </c>
      <c r="Q279" s="146">
        <f>6027.8+526.6</f>
        <v>6554.400000000001</v>
      </c>
      <c r="R279" s="146">
        <v>40.5</v>
      </c>
      <c r="S279" s="172"/>
      <c r="T279" s="179"/>
      <c r="U279" s="168"/>
      <c r="V279" s="169"/>
      <c r="W279" s="190"/>
    </row>
    <row r="280" spans="1:23" ht="25.5">
      <c r="A280" s="47" t="s">
        <v>17</v>
      </c>
      <c r="B280" s="78">
        <v>65</v>
      </c>
      <c r="C280" s="75">
        <v>11</v>
      </c>
      <c r="D280" s="19">
        <f t="shared" si="87"/>
        <v>347.8</v>
      </c>
      <c r="E280" s="8">
        <v>347.8</v>
      </c>
      <c r="F280" s="8"/>
      <c r="G280" s="18"/>
      <c r="H280" s="19"/>
      <c r="I280" s="8"/>
      <c r="J280" s="8"/>
      <c r="K280" s="18"/>
      <c r="L280" s="39">
        <f t="shared" si="88"/>
        <v>342.3</v>
      </c>
      <c r="M280" s="8">
        <v>342.3</v>
      </c>
      <c r="N280" s="8"/>
      <c r="O280" s="14"/>
      <c r="P280" s="145">
        <f t="shared" si="89"/>
        <v>448.6</v>
      </c>
      <c r="Q280" s="146">
        <v>448.6</v>
      </c>
      <c r="R280" s="146"/>
      <c r="S280" s="172"/>
      <c r="T280" s="179"/>
      <c r="U280" s="168"/>
      <c r="V280" s="169"/>
      <c r="W280" s="190"/>
    </row>
    <row r="281" spans="1:23" ht="12.75">
      <c r="A281" s="47" t="s">
        <v>19</v>
      </c>
      <c r="B281" s="78">
        <v>65</v>
      </c>
      <c r="C281" s="75">
        <v>13</v>
      </c>
      <c r="D281" s="19">
        <f t="shared" si="87"/>
        <v>133.4</v>
      </c>
      <c r="E281" s="8">
        <v>133.4</v>
      </c>
      <c r="F281" s="8"/>
      <c r="G281" s="18"/>
      <c r="H281" s="19"/>
      <c r="I281" s="8"/>
      <c r="J281" s="8"/>
      <c r="K281" s="18"/>
      <c r="L281" s="39">
        <f t="shared" si="88"/>
        <v>169.6</v>
      </c>
      <c r="M281" s="8">
        <v>169.6</v>
      </c>
      <c r="N281" s="8"/>
      <c r="O281" s="14"/>
      <c r="P281" s="145">
        <f t="shared" si="89"/>
        <v>178.2</v>
      </c>
      <c r="Q281" s="146">
        <v>178.2</v>
      </c>
      <c r="R281" s="146"/>
      <c r="S281" s="172"/>
      <c r="T281" s="179"/>
      <c r="U281" s="168"/>
      <c r="V281" s="169"/>
      <c r="W281" s="190"/>
    </row>
    <row r="282" spans="1:23" ht="25.5">
      <c r="A282" s="47" t="s">
        <v>20</v>
      </c>
      <c r="B282" s="78">
        <v>65</v>
      </c>
      <c r="C282" s="75">
        <v>14</v>
      </c>
      <c r="D282" s="19">
        <f t="shared" si="87"/>
        <v>0</v>
      </c>
      <c r="E282" s="8"/>
      <c r="F282" s="8"/>
      <c r="G282" s="18"/>
      <c r="H282" s="19"/>
      <c r="I282" s="8"/>
      <c r="J282" s="8"/>
      <c r="K282" s="18"/>
      <c r="L282" s="39">
        <f t="shared" si="88"/>
        <v>0</v>
      </c>
      <c r="M282" s="8"/>
      <c r="N282" s="8"/>
      <c r="O282" s="14"/>
      <c r="P282" s="145">
        <f t="shared" si="89"/>
        <v>0</v>
      </c>
      <c r="Q282" s="146"/>
      <c r="R282" s="146"/>
      <c r="S282" s="172"/>
      <c r="T282" s="179"/>
      <c r="U282" s="168"/>
      <c r="V282" s="169"/>
      <c r="W282" s="190"/>
    </row>
    <row r="283" spans="1:23" ht="25.5">
      <c r="A283" s="47" t="s">
        <v>27</v>
      </c>
      <c r="B283" s="78">
        <v>65</v>
      </c>
      <c r="C283" s="75">
        <v>15</v>
      </c>
      <c r="D283" s="19">
        <f t="shared" si="87"/>
        <v>0</v>
      </c>
      <c r="E283" s="8"/>
      <c r="F283" s="8"/>
      <c r="G283" s="18"/>
      <c r="H283" s="19"/>
      <c r="I283" s="8"/>
      <c r="J283" s="8"/>
      <c r="K283" s="18"/>
      <c r="L283" s="39">
        <f t="shared" si="88"/>
        <v>52.7</v>
      </c>
      <c r="M283" s="8"/>
      <c r="N283" s="8">
        <v>52.7</v>
      </c>
      <c r="O283" s="14"/>
      <c r="P283" s="145">
        <f t="shared" si="89"/>
        <v>0</v>
      </c>
      <c r="Q283" s="146"/>
      <c r="R283" s="146">
        <v>0</v>
      </c>
      <c r="S283" s="172"/>
      <c r="T283" s="179"/>
      <c r="U283" s="168"/>
      <c r="V283" s="169"/>
      <c r="W283" s="190"/>
    </row>
    <row r="284" spans="1:23" ht="25.5">
      <c r="A284" s="47" t="s">
        <v>22</v>
      </c>
      <c r="B284" s="78">
        <v>65</v>
      </c>
      <c r="C284" s="75">
        <v>19</v>
      </c>
      <c r="D284" s="19">
        <f t="shared" si="87"/>
        <v>71.9</v>
      </c>
      <c r="E284" s="8">
        <v>71.9</v>
      </c>
      <c r="F284" s="8"/>
      <c r="G284" s="18"/>
      <c r="H284" s="19"/>
      <c r="I284" s="8"/>
      <c r="J284" s="8"/>
      <c r="K284" s="18"/>
      <c r="L284" s="39">
        <f t="shared" si="88"/>
        <v>120.8</v>
      </c>
      <c r="M284" s="8">
        <v>120.8</v>
      </c>
      <c r="N284" s="8"/>
      <c r="O284" s="14"/>
      <c r="P284" s="145">
        <f t="shared" si="89"/>
        <v>94.3</v>
      </c>
      <c r="Q284" s="146">
        <v>94.3</v>
      </c>
      <c r="R284" s="146"/>
      <c r="S284" s="172"/>
      <c r="T284" s="179"/>
      <c r="U284" s="168"/>
      <c r="V284" s="169"/>
      <c r="W284" s="190"/>
    </row>
    <row r="285" spans="1:23" ht="25.5">
      <c r="A285" s="47" t="s">
        <v>23</v>
      </c>
      <c r="B285" s="78">
        <v>65</v>
      </c>
      <c r="C285" s="75">
        <v>20</v>
      </c>
      <c r="D285" s="19">
        <f t="shared" si="87"/>
        <v>2922.3999999999996</v>
      </c>
      <c r="E285" s="10">
        <f>2471.1+1019.6-568.3</f>
        <v>2922.3999999999996</v>
      </c>
      <c r="F285" s="8"/>
      <c r="G285" s="18"/>
      <c r="H285" s="19"/>
      <c r="I285" s="10"/>
      <c r="J285" s="8"/>
      <c r="K285" s="18"/>
      <c r="L285" s="39">
        <f t="shared" si="88"/>
        <v>3467</v>
      </c>
      <c r="M285" s="8">
        <v>3135.8</v>
      </c>
      <c r="N285" s="8">
        <v>331.2</v>
      </c>
      <c r="O285" s="14"/>
      <c r="P285" s="145">
        <f t="shared" si="89"/>
        <v>3066.9</v>
      </c>
      <c r="Q285" s="146">
        <v>3066.9</v>
      </c>
      <c r="R285" s="146"/>
      <c r="S285" s="172"/>
      <c r="T285" s="181"/>
      <c r="U285" s="168"/>
      <c r="V285" s="169"/>
      <c r="W285" s="188"/>
    </row>
    <row r="286" spans="1:23" s="12" customFormat="1" ht="15">
      <c r="A286" s="45" t="s">
        <v>45</v>
      </c>
      <c r="B286" s="70">
        <v>67</v>
      </c>
      <c r="C286" s="79"/>
      <c r="D286" s="33"/>
      <c r="E286" s="11"/>
      <c r="F286" s="11"/>
      <c r="G286" s="31"/>
      <c r="H286" s="33"/>
      <c r="I286" s="11"/>
      <c r="J286" s="11"/>
      <c r="K286" s="31"/>
      <c r="L286" s="40"/>
      <c r="M286" s="11"/>
      <c r="N286" s="11"/>
      <c r="O286" s="35"/>
      <c r="P286" s="40"/>
      <c r="Q286" s="11"/>
      <c r="R286" s="11"/>
      <c r="S286" s="35"/>
      <c r="T286" s="178"/>
      <c r="U286" s="167"/>
      <c r="V286" s="163"/>
      <c r="W286" s="187"/>
    </row>
    <row r="287" spans="1:23" s="6" customFormat="1" ht="12.75">
      <c r="A287" s="46" t="s">
        <v>8</v>
      </c>
      <c r="B287" s="77">
        <v>67</v>
      </c>
      <c r="C287" s="73" t="s">
        <v>9</v>
      </c>
      <c r="D287" s="17">
        <f>SUM(D288:D298)</f>
        <v>105470.79999999999</v>
      </c>
      <c r="E287" s="5">
        <f>SUM(E288:E298)</f>
        <v>105238.79999999999</v>
      </c>
      <c r="F287" s="5">
        <f>SUM(F288:F298)</f>
        <v>232</v>
      </c>
      <c r="G287" s="16">
        <f>SUM(G288:G298)</f>
        <v>0</v>
      </c>
      <c r="H287" s="17">
        <f aca="true" t="shared" si="90" ref="H287:O287">SUM(H288:H298)</f>
        <v>0</v>
      </c>
      <c r="I287" s="5">
        <f t="shared" si="90"/>
        <v>0</v>
      </c>
      <c r="J287" s="5">
        <f t="shared" si="90"/>
        <v>0</v>
      </c>
      <c r="K287" s="16">
        <f t="shared" si="90"/>
        <v>0</v>
      </c>
      <c r="L287" s="38">
        <f t="shared" si="90"/>
        <v>120044.6</v>
      </c>
      <c r="M287" s="5">
        <f t="shared" si="90"/>
        <v>118929.40000000002</v>
      </c>
      <c r="N287" s="5">
        <f t="shared" si="90"/>
        <v>1115.2</v>
      </c>
      <c r="O287" s="13">
        <f t="shared" si="90"/>
        <v>0</v>
      </c>
      <c r="P287" s="143">
        <f>SUM(P288:P298)</f>
        <v>115735.50000000001</v>
      </c>
      <c r="Q287" s="144">
        <f>SUM(Q288:Q298)</f>
        <v>115503.50000000001</v>
      </c>
      <c r="R287" s="144">
        <f>SUM(R288:R298)</f>
        <v>232</v>
      </c>
      <c r="S287" s="171">
        <f>SUM(S288:S298)</f>
        <v>0</v>
      </c>
      <c r="T287" s="178"/>
      <c r="U287" s="167"/>
      <c r="V287" s="163"/>
      <c r="W287" s="187"/>
    </row>
    <row r="288" spans="1:23" ht="12.75">
      <c r="A288" s="47" t="s">
        <v>10</v>
      </c>
      <c r="B288" s="78">
        <v>67</v>
      </c>
      <c r="C288" s="75">
        <v>1</v>
      </c>
      <c r="D288" s="19">
        <f aca="true" t="shared" si="91" ref="D288:D298">E288+F288+G288</f>
        <v>8186.9</v>
      </c>
      <c r="E288" s="8">
        <v>8186.9</v>
      </c>
      <c r="F288" s="8"/>
      <c r="G288" s="18"/>
      <c r="H288" s="19"/>
      <c r="I288" s="8"/>
      <c r="J288" s="8"/>
      <c r="K288" s="18"/>
      <c r="L288" s="39">
        <f aca="true" t="shared" si="92" ref="L288:L298">M288+N288+O288</f>
        <v>10219.3</v>
      </c>
      <c r="M288" s="8">
        <v>10219.3</v>
      </c>
      <c r="N288" s="8"/>
      <c r="O288" s="14"/>
      <c r="P288" s="145">
        <f aca="true" t="shared" si="93" ref="P288:P298">Q288+R288+S288</f>
        <v>10403.3</v>
      </c>
      <c r="Q288" s="146">
        <v>10403.3</v>
      </c>
      <c r="R288" s="146"/>
      <c r="S288" s="172"/>
      <c r="T288" s="179"/>
      <c r="U288" s="168"/>
      <c r="V288" s="169"/>
      <c r="W288" s="190"/>
    </row>
    <row r="289" spans="1:23" ht="12.75">
      <c r="A289" s="47" t="s">
        <v>11</v>
      </c>
      <c r="B289" s="78">
        <v>67</v>
      </c>
      <c r="C289" s="75">
        <v>3</v>
      </c>
      <c r="D289" s="19">
        <f t="shared" si="91"/>
        <v>67</v>
      </c>
      <c r="E289" s="8">
        <v>67</v>
      </c>
      <c r="F289" s="8"/>
      <c r="G289" s="18"/>
      <c r="H289" s="19"/>
      <c r="I289" s="8"/>
      <c r="J289" s="8"/>
      <c r="K289" s="18"/>
      <c r="L289" s="39">
        <f t="shared" si="92"/>
        <v>85.7</v>
      </c>
      <c r="M289" s="8">
        <v>85.7</v>
      </c>
      <c r="N289" s="8"/>
      <c r="O289" s="14"/>
      <c r="P289" s="145">
        <f t="shared" si="93"/>
        <v>75.7</v>
      </c>
      <c r="Q289" s="146">
        <v>75.7</v>
      </c>
      <c r="R289" s="146"/>
      <c r="S289" s="172"/>
      <c r="T289" s="179"/>
      <c r="U289" s="168"/>
      <c r="V289" s="169"/>
      <c r="W289" s="190"/>
    </row>
    <row r="290" spans="1:23" ht="25.5">
      <c r="A290" s="47" t="s">
        <v>12</v>
      </c>
      <c r="B290" s="78">
        <v>67</v>
      </c>
      <c r="C290" s="75">
        <v>5</v>
      </c>
      <c r="D290" s="19">
        <f t="shared" si="91"/>
        <v>2685.7</v>
      </c>
      <c r="E290" s="8">
        <v>2685.7</v>
      </c>
      <c r="F290" s="8"/>
      <c r="G290" s="18"/>
      <c r="H290" s="19"/>
      <c r="I290" s="8"/>
      <c r="J290" s="8"/>
      <c r="K290" s="18"/>
      <c r="L290" s="39">
        <f t="shared" si="92"/>
        <v>3336.5</v>
      </c>
      <c r="M290" s="8">
        <v>3336.5</v>
      </c>
      <c r="N290" s="8"/>
      <c r="O290" s="14"/>
      <c r="P290" s="145">
        <f t="shared" si="93"/>
        <v>3263.3</v>
      </c>
      <c r="Q290" s="146">
        <v>3263.3</v>
      </c>
      <c r="R290" s="146"/>
      <c r="S290" s="172"/>
      <c r="T290" s="179"/>
      <c r="U290" s="168"/>
      <c r="V290" s="169"/>
      <c r="W290" s="190"/>
    </row>
    <row r="291" spans="1:23" ht="12.75">
      <c r="A291" s="47" t="s">
        <v>13</v>
      </c>
      <c r="B291" s="78">
        <v>67</v>
      </c>
      <c r="C291" s="75">
        <v>6</v>
      </c>
      <c r="D291" s="19">
        <f t="shared" si="91"/>
        <v>85976.4</v>
      </c>
      <c r="E291" s="8">
        <f>85277.2+560.8</f>
        <v>85838</v>
      </c>
      <c r="F291" s="8">
        <v>138.4</v>
      </c>
      <c r="G291" s="18"/>
      <c r="H291" s="19"/>
      <c r="I291" s="8"/>
      <c r="J291" s="8"/>
      <c r="K291" s="18"/>
      <c r="L291" s="39">
        <f t="shared" si="92"/>
        <v>93093.8</v>
      </c>
      <c r="M291" s="8">
        <v>92649.1</v>
      </c>
      <c r="N291" s="8">
        <v>444.7</v>
      </c>
      <c r="O291" s="14"/>
      <c r="P291" s="145">
        <f t="shared" si="93"/>
        <v>91287.8</v>
      </c>
      <c r="Q291" s="146">
        <f>91287.8-138.4</f>
        <v>91149.40000000001</v>
      </c>
      <c r="R291" s="146">
        <v>138.4</v>
      </c>
      <c r="S291" s="172"/>
      <c r="T291" s="179"/>
      <c r="U291" s="168"/>
      <c r="V291" s="169"/>
      <c r="W291" s="190"/>
    </row>
    <row r="292" spans="1:23" ht="25.5">
      <c r="A292" s="47" t="s">
        <v>14</v>
      </c>
      <c r="B292" s="78">
        <v>67</v>
      </c>
      <c r="C292" s="75">
        <v>8</v>
      </c>
      <c r="D292" s="19">
        <f t="shared" si="91"/>
        <v>3406.2000000000003</v>
      </c>
      <c r="E292" s="8">
        <f>3281.8+124.4</f>
        <v>3406.2000000000003</v>
      </c>
      <c r="F292" s="8"/>
      <c r="G292" s="18"/>
      <c r="H292" s="19"/>
      <c r="I292" s="8"/>
      <c r="J292" s="8"/>
      <c r="K292" s="18"/>
      <c r="L292" s="39">
        <f t="shared" si="92"/>
        <v>4971.3</v>
      </c>
      <c r="M292" s="8">
        <v>4971.3</v>
      </c>
      <c r="N292" s="8"/>
      <c r="O292" s="14"/>
      <c r="P292" s="145">
        <f t="shared" si="93"/>
        <v>4148.2</v>
      </c>
      <c r="Q292" s="146">
        <v>4148.2</v>
      </c>
      <c r="R292" s="146"/>
      <c r="S292" s="172"/>
      <c r="T292" s="179"/>
      <c r="U292" s="168"/>
      <c r="V292" s="169"/>
      <c r="W292" s="190"/>
    </row>
    <row r="293" spans="1:23" ht="12.75">
      <c r="A293" s="47" t="s">
        <v>16</v>
      </c>
      <c r="B293" s="78">
        <v>67</v>
      </c>
      <c r="C293" s="75">
        <v>10</v>
      </c>
      <c r="D293" s="19">
        <f t="shared" si="91"/>
        <v>2972.7999999999997</v>
      </c>
      <c r="E293" s="8">
        <f>2547.6+331.6</f>
        <v>2879.2</v>
      </c>
      <c r="F293" s="8">
        <v>93.6</v>
      </c>
      <c r="G293" s="18"/>
      <c r="H293" s="19"/>
      <c r="I293" s="8"/>
      <c r="J293" s="8"/>
      <c r="K293" s="18"/>
      <c r="L293" s="39">
        <f t="shared" si="92"/>
        <v>4245.900000000001</v>
      </c>
      <c r="M293" s="8">
        <v>4100.1</v>
      </c>
      <c r="N293" s="8">
        <v>145.8</v>
      </c>
      <c r="O293" s="14"/>
      <c r="P293" s="145">
        <f t="shared" si="93"/>
        <v>3829.1</v>
      </c>
      <c r="Q293" s="146">
        <f>3314.2+421.3</f>
        <v>3735.5</v>
      </c>
      <c r="R293" s="146">
        <v>93.6</v>
      </c>
      <c r="S293" s="172"/>
      <c r="T293" s="179"/>
      <c r="U293" s="168"/>
      <c r="V293" s="169"/>
      <c r="W293" s="190"/>
    </row>
    <row r="294" spans="1:23" ht="25.5">
      <c r="A294" s="47" t="s">
        <v>17</v>
      </c>
      <c r="B294" s="78">
        <v>67</v>
      </c>
      <c r="C294" s="75">
        <v>11</v>
      </c>
      <c r="D294" s="19">
        <f t="shared" si="91"/>
        <v>231.9</v>
      </c>
      <c r="E294" s="8">
        <v>231.9</v>
      </c>
      <c r="F294" s="8"/>
      <c r="G294" s="18"/>
      <c r="H294" s="19"/>
      <c r="I294" s="8"/>
      <c r="J294" s="8"/>
      <c r="K294" s="18"/>
      <c r="L294" s="39">
        <f t="shared" si="92"/>
        <v>318.3</v>
      </c>
      <c r="M294" s="8">
        <v>318.3</v>
      </c>
      <c r="N294" s="8"/>
      <c r="O294" s="14"/>
      <c r="P294" s="145">
        <f t="shared" si="93"/>
        <v>299.1</v>
      </c>
      <c r="Q294" s="146">
        <v>299.1</v>
      </c>
      <c r="R294" s="146"/>
      <c r="S294" s="172"/>
      <c r="T294" s="179"/>
      <c r="U294" s="168"/>
      <c r="V294" s="169"/>
      <c r="W294" s="190"/>
    </row>
    <row r="295" spans="1:23" ht="12.75">
      <c r="A295" s="47" t="s">
        <v>19</v>
      </c>
      <c r="B295" s="78">
        <v>67</v>
      </c>
      <c r="C295" s="75">
        <v>13</v>
      </c>
      <c r="D295" s="19">
        <f t="shared" si="91"/>
        <v>133.4</v>
      </c>
      <c r="E295" s="8">
        <v>133.4</v>
      </c>
      <c r="F295" s="8"/>
      <c r="G295" s="18"/>
      <c r="H295" s="19"/>
      <c r="I295" s="8"/>
      <c r="J295" s="8"/>
      <c r="K295" s="18"/>
      <c r="L295" s="39">
        <f t="shared" si="92"/>
        <v>237.5</v>
      </c>
      <c r="M295" s="8">
        <v>237.5</v>
      </c>
      <c r="N295" s="8"/>
      <c r="O295" s="14"/>
      <c r="P295" s="145">
        <f t="shared" si="93"/>
        <v>178.2</v>
      </c>
      <c r="Q295" s="146">
        <v>178.2</v>
      </c>
      <c r="R295" s="146"/>
      <c r="S295" s="172"/>
      <c r="T295" s="179"/>
      <c r="U295" s="168"/>
      <c r="V295" s="169"/>
      <c r="W295" s="190"/>
    </row>
    <row r="296" spans="1:23" ht="25.5">
      <c r="A296" s="47" t="s">
        <v>27</v>
      </c>
      <c r="B296" s="78">
        <v>67</v>
      </c>
      <c r="C296" s="75">
        <v>15</v>
      </c>
      <c r="D296" s="19">
        <f t="shared" si="91"/>
        <v>0</v>
      </c>
      <c r="E296" s="8"/>
      <c r="F296" s="8"/>
      <c r="G296" s="18"/>
      <c r="H296" s="19"/>
      <c r="I296" s="8"/>
      <c r="J296" s="8"/>
      <c r="K296" s="18"/>
      <c r="L296" s="39">
        <f t="shared" si="92"/>
        <v>1409.3000000000002</v>
      </c>
      <c r="M296" s="8">
        <v>884.6</v>
      </c>
      <c r="N296" s="8">
        <v>524.7</v>
      </c>
      <c r="O296" s="14"/>
      <c r="P296" s="145">
        <f t="shared" si="93"/>
        <v>0</v>
      </c>
      <c r="Q296" s="146">
        <v>0</v>
      </c>
      <c r="R296" s="146">
        <v>0</v>
      </c>
      <c r="S296" s="172"/>
      <c r="T296" s="179"/>
      <c r="U296" s="168"/>
      <c r="V296" s="169"/>
      <c r="W296" s="190"/>
    </row>
    <row r="297" spans="1:23" ht="25.5">
      <c r="A297" s="47" t="s">
        <v>22</v>
      </c>
      <c r="B297" s="78">
        <v>67</v>
      </c>
      <c r="C297" s="75">
        <v>19</v>
      </c>
      <c r="D297" s="19">
        <f t="shared" si="91"/>
        <v>53.9</v>
      </c>
      <c r="E297" s="8">
        <v>53.9</v>
      </c>
      <c r="F297" s="8"/>
      <c r="G297" s="18"/>
      <c r="H297" s="19"/>
      <c r="I297" s="8"/>
      <c r="J297" s="8"/>
      <c r="K297" s="18"/>
      <c r="L297" s="39">
        <f t="shared" si="92"/>
        <v>92.4</v>
      </c>
      <c r="M297" s="8">
        <v>92.4</v>
      </c>
      <c r="N297" s="8"/>
      <c r="O297" s="14"/>
      <c r="P297" s="145">
        <f t="shared" si="93"/>
        <v>70.7</v>
      </c>
      <c r="Q297" s="146">
        <v>70.7</v>
      </c>
      <c r="R297" s="146"/>
      <c r="S297" s="172"/>
      <c r="T297" s="179"/>
      <c r="U297" s="168"/>
      <c r="V297" s="169"/>
      <c r="W297" s="190"/>
    </row>
    <row r="298" spans="1:23" ht="25.5">
      <c r="A298" s="47" t="s">
        <v>23</v>
      </c>
      <c r="B298" s="78">
        <v>67</v>
      </c>
      <c r="C298" s="75">
        <v>20</v>
      </c>
      <c r="D298" s="19">
        <f t="shared" si="91"/>
        <v>1756.5999999999997</v>
      </c>
      <c r="E298" s="8">
        <f>1756.6+724.8-724.8</f>
        <v>1756.5999999999997</v>
      </c>
      <c r="F298" s="8"/>
      <c r="G298" s="18"/>
      <c r="H298" s="19"/>
      <c r="I298" s="8"/>
      <c r="J298" s="8"/>
      <c r="K298" s="18"/>
      <c r="L298" s="39">
        <f t="shared" si="92"/>
        <v>2034.6</v>
      </c>
      <c r="M298" s="8">
        <v>2034.6</v>
      </c>
      <c r="N298" s="8"/>
      <c r="O298" s="14"/>
      <c r="P298" s="145">
        <f t="shared" si="93"/>
        <v>2180.1</v>
      </c>
      <c r="Q298" s="146">
        <v>2180.1</v>
      </c>
      <c r="R298" s="146"/>
      <c r="S298" s="172"/>
      <c r="T298" s="181"/>
      <c r="U298" s="168"/>
      <c r="V298" s="169"/>
      <c r="W298" s="188"/>
    </row>
    <row r="299" spans="1:23" s="12" customFormat="1" ht="15">
      <c r="A299" s="45" t="s">
        <v>46</v>
      </c>
      <c r="B299" s="70">
        <v>69</v>
      </c>
      <c r="C299" s="79"/>
      <c r="D299" s="33"/>
      <c r="E299" s="11"/>
      <c r="F299" s="11"/>
      <c r="G299" s="31"/>
      <c r="H299" s="33"/>
      <c r="I299" s="11"/>
      <c r="J299" s="11"/>
      <c r="K299" s="31"/>
      <c r="L299" s="40"/>
      <c r="M299" s="11"/>
      <c r="N299" s="11"/>
      <c r="O299" s="35"/>
      <c r="P299" s="40"/>
      <c r="Q299" s="11"/>
      <c r="R299" s="11"/>
      <c r="S299" s="35"/>
      <c r="T299" s="178"/>
      <c r="U299" s="167"/>
      <c r="V299" s="163"/>
      <c r="W299" s="187"/>
    </row>
    <row r="300" spans="1:23" s="6" customFormat="1" ht="12.75">
      <c r="A300" s="46" t="s">
        <v>8</v>
      </c>
      <c r="B300" s="77">
        <v>69</v>
      </c>
      <c r="C300" s="73" t="s">
        <v>9</v>
      </c>
      <c r="D300" s="17">
        <f>SUM(D301:D311)</f>
        <v>64276.90000000001</v>
      </c>
      <c r="E300" s="5">
        <f>SUM(E301:E311)</f>
        <v>63857.100000000006</v>
      </c>
      <c r="F300" s="5">
        <f>SUM(F301:F311)</f>
        <v>419.8</v>
      </c>
      <c r="G300" s="16">
        <f>SUM(G301:G311)</f>
        <v>0</v>
      </c>
      <c r="H300" s="17">
        <f aca="true" t="shared" si="94" ref="H300:O300">SUM(H301:H311)</f>
        <v>0</v>
      </c>
      <c r="I300" s="5">
        <f t="shared" si="94"/>
        <v>0</v>
      </c>
      <c r="J300" s="5">
        <f t="shared" si="94"/>
        <v>0</v>
      </c>
      <c r="K300" s="16">
        <f t="shared" si="94"/>
        <v>0</v>
      </c>
      <c r="L300" s="38">
        <f t="shared" si="94"/>
        <v>70718.4</v>
      </c>
      <c r="M300" s="5">
        <f t="shared" si="94"/>
        <v>70508.7</v>
      </c>
      <c r="N300" s="5">
        <f t="shared" si="94"/>
        <v>209.7</v>
      </c>
      <c r="O300" s="13">
        <f t="shared" si="94"/>
        <v>0</v>
      </c>
      <c r="P300" s="143">
        <f>SUM(P301:P311)</f>
        <v>72539.20000000001</v>
      </c>
      <c r="Q300" s="144">
        <f>SUM(Q301:Q311)</f>
        <v>72119.40000000001</v>
      </c>
      <c r="R300" s="144">
        <f>SUM(R301:R311)</f>
        <v>419.8</v>
      </c>
      <c r="S300" s="171">
        <f>SUM(S301:S311)</f>
        <v>0</v>
      </c>
      <c r="T300" s="178"/>
      <c r="U300" s="167"/>
      <c r="V300" s="163"/>
      <c r="W300" s="187"/>
    </row>
    <row r="301" spans="1:23" ht="12.75">
      <c r="A301" s="47" t="s">
        <v>10</v>
      </c>
      <c r="B301" s="78">
        <v>69</v>
      </c>
      <c r="C301" s="75">
        <v>1</v>
      </c>
      <c r="D301" s="19">
        <f aca="true" t="shared" si="95" ref="D301:D311">E301+F301+G301</f>
        <v>7099.9</v>
      </c>
      <c r="E301" s="8">
        <v>7047</v>
      </c>
      <c r="F301" s="8">
        <v>52.9</v>
      </c>
      <c r="G301" s="18"/>
      <c r="H301" s="19"/>
      <c r="I301" s="8"/>
      <c r="J301" s="8"/>
      <c r="K301" s="18"/>
      <c r="L301" s="39">
        <f aca="true" t="shared" si="96" ref="L301:L311">M301+N301+O301</f>
        <v>8219.9</v>
      </c>
      <c r="M301" s="8">
        <v>8205.3</v>
      </c>
      <c r="N301" s="8">
        <v>14.6</v>
      </c>
      <c r="O301" s="14"/>
      <c r="P301" s="145">
        <f aca="true" t="shared" si="97" ref="P301:P311">Q301+R301+S301</f>
        <v>9007.6</v>
      </c>
      <c r="Q301" s="146">
        <v>8954.7</v>
      </c>
      <c r="R301" s="146">
        <v>52.9</v>
      </c>
      <c r="S301" s="172"/>
      <c r="T301" s="179"/>
      <c r="U301" s="168"/>
      <c r="V301" s="169"/>
      <c r="W301" s="190"/>
    </row>
    <row r="302" spans="1:23" ht="12.75">
      <c r="A302" s="47" t="s">
        <v>11</v>
      </c>
      <c r="B302" s="78">
        <v>69</v>
      </c>
      <c r="C302" s="75">
        <v>3</v>
      </c>
      <c r="D302" s="19">
        <f t="shared" si="95"/>
        <v>41.4</v>
      </c>
      <c r="E302" s="8">
        <v>41.4</v>
      </c>
      <c r="F302" s="8"/>
      <c r="G302" s="18"/>
      <c r="H302" s="19"/>
      <c r="I302" s="8"/>
      <c r="J302" s="8"/>
      <c r="K302" s="18"/>
      <c r="L302" s="39">
        <f t="shared" si="96"/>
        <v>40.4</v>
      </c>
      <c r="M302" s="8">
        <v>40.4</v>
      </c>
      <c r="N302" s="8"/>
      <c r="O302" s="14"/>
      <c r="P302" s="145">
        <f t="shared" si="97"/>
        <v>48</v>
      </c>
      <c r="Q302" s="146">
        <v>48</v>
      </c>
      <c r="R302" s="146"/>
      <c r="S302" s="172"/>
      <c r="T302" s="179"/>
      <c r="U302" s="168"/>
      <c r="V302" s="169"/>
      <c r="W302" s="190"/>
    </row>
    <row r="303" spans="1:23" ht="25.5">
      <c r="A303" s="47" t="s">
        <v>12</v>
      </c>
      <c r="B303" s="78">
        <v>69</v>
      </c>
      <c r="C303" s="75">
        <v>5</v>
      </c>
      <c r="D303" s="19">
        <f t="shared" si="95"/>
        <v>2490.5</v>
      </c>
      <c r="E303" s="8">
        <v>2490.5</v>
      </c>
      <c r="F303" s="8"/>
      <c r="G303" s="18"/>
      <c r="H303" s="19"/>
      <c r="I303" s="8"/>
      <c r="J303" s="8"/>
      <c r="K303" s="18"/>
      <c r="L303" s="39">
        <f t="shared" si="96"/>
        <v>2809</v>
      </c>
      <c r="M303" s="8">
        <v>2809</v>
      </c>
      <c r="N303" s="8"/>
      <c r="O303" s="14"/>
      <c r="P303" s="145">
        <f t="shared" si="97"/>
        <v>2975.3</v>
      </c>
      <c r="Q303" s="146">
        <v>2975.3</v>
      </c>
      <c r="R303" s="146"/>
      <c r="S303" s="172"/>
      <c r="T303" s="179"/>
      <c r="U303" s="168"/>
      <c r="V303" s="169"/>
      <c r="W303" s="190"/>
    </row>
    <row r="304" spans="1:23" ht="12.75">
      <c r="A304" s="47" t="s">
        <v>13</v>
      </c>
      <c r="B304" s="78">
        <v>69</v>
      </c>
      <c r="C304" s="75">
        <v>6</v>
      </c>
      <c r="D304" s="19">
        <f t="shared" si="95"/>
        <v>47060.8</v>
      </c>
      <c r="E304" s="8">
        <f>46390.9+440.6</f>
        <v>46831.5</v>
      </c>
      <c r="F304" s="8">
        <v>229.3</v>
      </c>
      <c r="G304" s="18"/>
      <c r="H304" s="19"/>
      <c r="I304" s="8"/>
      <c r="J304" s="8"/>
      <c r="K304" s="18"/>
      <c r="L304" s="39">
        <f t="shared" si="96"/>
        <v>50147.700000000004</v>
      </c>
      <c r="M304" s="8">
        <v>50008.3</v>
      </c>
      <c r="N304" s="8">
        <v>139.4</v>
      </c>
      <c r="O304" s="14"/>
      <c r="P304" s="145">
        <f t="shared" si="97"/>
        <v>51363.5</v>
      </c>
      <c r="Q304" s="146">
        <f>51363.5-229.3</f>
        <v>51134.2</v>
      </c>
      <c r="R304" s="146">
        <v>229.3</v>
      </c>
      <c r="S304" s="172"/>
      <c r="T304" s="179"/>
      <c r="U304" s="168"/>
      <c r="V304" s="169"/>
      <c r="W304" s="190"/>
    </row>
    <row r="305" spans="1:23" ht="25.5">
      <c r="A305" s="47" t="s">
        <v>14</v>
      </c>
      <c r="B305" s="78">
        <v>69</v>
      </c>
      <c r="C305" s="75">
        <v>8</v>
      </c>
      <c r="D305" s="19">
        <f t="shared" si="95"/>
        <v>2823.2</v>
      </c>
      <c r="E305" s="8">
        <f>2698.7+124.4</f>
        <v>2823.1</v>
      </c>
      <c r="F305" s="8">
        <v>0.1</v>
      </c>
      <c r="G305" s="18"/>
      <c r="H305" s="19"/>
      <c r="I305" s="8"/>
      <c r="J305" s="8"/>
      <c r="K305" s="18"/>
      <c r="L305" s="39">
        <f t="shared" si="96"/>
        <v>3895.9</v>
      </c>
      <c r="M305" s="8">
        <v>3895.9</v>
      </c>
      <c r="N305" s="8"/>
      <c r="O305" s="14"/>
      <c r="P305" s="145">
        <f t="shared" si="97"/>
        <v>3313.7</v>
      </c>
      <c r="Q305" s="146">
        <f>3313.7-0.1</f>
        <v>3313.6</v>
      </c>
      <c r="R305" s="146">
        <v>0.1</v>
      </c>
      <c r="S305" s="172"/>
      <c r="T305" s="179"/>
      <c r="U305" s="168"/>
      <c r="V305" s="169"/>
      <c r="W305" s="190"/>
    </row>
    <row r="306" spans="1:23" ht="12.75">
      <c r="A306" s="47" t="s">
        <v>16</v>
      </c>
      <c r="B306" s="78">
        <v>69</v>
      </c>
      <c r="C306" s="75">
        <v>10</v>
      </c>
      <c r="D306" s="19">
        <f t="shared" si="95"/>
        <v>2555.5</v>
      </c>
      <c r="E306" s="8">
        <f>2038.7+331.6+47.7</f>
        <v>2418</v>
      </c>
      <c r="F306" s="8">
        <v>137.5</v>
      </c>
      <c r="G306" s="18"/>
      <c r="H306" s="19"/>
      <c r="I306" s="8"/>
      <c r="J306" s="8"/>
      <c r="K306" s="18"/>
      <c r="L306" s="39">
        <f t="shared" si="96"/>
        <v>3126.1</v>
      </c>
      <c r="M306" s="8">
        <v>3070.4</v>
      </c>
      <c r="N306" s="8">
        <v>55.7</v>
      </c>
      <c r="O306" s="14"/>
      <c r="P306" s="145">
        <f t="shared" si="97"/>
        <v>3066</v>
      </c>
      <c r="Q306" s="146">
        <f>2507.2+421.3</f>
        <v>2928.5</v>
      </c>
      <c r="R306" s="146">
        <v>137.5</v>
      </c>
      <c r="S306" s="172"/>
      <c r="T306" s="179"/>
      <c r="U306" s="168"/>
      <c r="V306" s="169"/>
      <c r="W306" s="190"/>
    </row>
    <row r="307" spans="1:23" ht="25.5">
      <c r="A307" s="47" t="s">
        <v>17</v>
      </c>
      <c r="B307" s="78">
        <v>69</v>
      </c>
      <c r="C307" s="75">
        <v>11</v>
      </c>
      <c r="D307" s="19">
        <f t="shared" si="95"/>
        <v>231.9</v>
      </c>
      <c r="E307" s="8">
        <v>231.9</v>
      </c>
      <c r="F307" s="8"/>
      <c r="G307" s="18"/>
      <c r="H307" s="19"/>
      <c r="I307" s="8"/>
      <c r="J307" s="8"/>
      <c r="K307" s="18"/>
      <c r="L307" s="39">
        <f t="shared" si="96"/>
        <v>305.5</v>
      </c>
      <c r="M307" s="8">
        <v>305.5</v>
      </c>
      <c r="N307" s="8"/>
      <c r="O307" s="14"/>
      <c r="P307" s="145">
        <f t="shared" si="97"/>
        <v>299.1</v>
      </c>
      <c r="Q307" s="146">
        <v>299.1</v>
      </c>
      <c r="R307" s="146"/>
      <c r="S307" s="172"/>
      <c r="T307" s="179"/>
      <c r="U307" s="168"/>
      <c r="V307" s="169"/>
      <c r="W307" s="190"/>
    </row>
    <row r="308" spans="1:23" ht="12.75">
      <c r="A308" s="47" t="s">
        <v>19</v>
      </c>
      <c r="B308" s="78">
        <v>69</v>
      </c>
      <c r="C308" s="75">
        <v>13</v>
      </c>
      <c r="D308" s="19">
        <f t="shared" si="95"/>
        <v>133.4</v>
      </c>
      <c r="E308" s="8">
        <v>133.4</v>
      </c>
      <c r="F308" s="8"/>
      <c r="G308" s="18"/>
      <c r="H308" s="19"/>
      <c r="I308" s="8"/>
      <c r="J308" s="8"/>
      <c r="K308" s="18"/>
      <c r="L308" s="39">
        <f t="shared" si="96"/>
        <v>210.2</v>
      </c>
      <c r="M308" s="8">
        <v>210.2</v>
      </c>
      <c r="N308" s="8"/>
      <c r="O308" s="14"/>
      <c r="P308" s="145">
        <f t="shared" si="97"/>
        <v>178.2</v>
      </c>
      <c r="Q308" s="146">
        <v>178.2</v>
      </c>
      <c r="R308" s="146"/>
      <c r="S308" s="172"/>
      <c r="T308" s="179"/>
      <c r="U308" s="168"/>
      <c r="V308" s="169"/>
      <c r="W308" s="190"/>
    </row>
    <row r="309" spans="1:23" ht="25.5">
      <c r="A309" s="47" t="s">
        <v>27</v>
      </c>
      <c r="B309" s="78">
        <v>69</v>
      </c>
      <c r="C309" s="75">
        <v>15</v>
      </c>
      <c r="D309" s="19">
        <f t="shared" si="95"/>
        <v>0</v>
      </c>
      <c r="E309" s="8"/>
      <c r="F309" s="8"/>
      <c r="G309" s="18"/>
      <c r="H309" s="19"/>
      <c r="I309" s="8"/>
      <c r="J309" s="8"/>
      <c r="K309" s="18"/>
      <c r="L309" s="39">
        <f t="shared" si="96"/>
        <v>0</v>
      </c>
      <c r="M309" s="8"/>
      <c r="N309" s="8"/>
      <c r="O309" s="14"/>
      <c r="P309" s="145">
        <f t="shared" si="97"/>
        <v>0</v>
      </c>
      <c r="Q309" s="146"/>
      <c r="R309" s="146"/>
      <c r="S309" s="172"/>
      <c r="T309" s="179"/>
      <c r="U309" s="168"/>
      <c r="V309" s="169"/>
      <c r="W309" s="190"/>
    </row>
    <row r="310" spans="1:23" ht="25.5">
      <c r="A310" s="47" t="s">
        <v>22</v>
      </c>
      <c r="B310" s="78">
        <v>69</v>
      </c>
      <c r="C310" s="75">
        <v>19</v>
      </c>
      <c r="D310" s="19">
        <f t="shared" si="95"/>
        <v>53.9</v>
      </c>
      <c r="E310" s="8">
        <v>53.9</v>
      </c>
      <c r="F310" s="8"/>
      <c r="G310" s="18"/>
      <c r="H310" s="19"/>
      <c r="I310" s="8"/>
      <c r="J310" s="8"/>
      <c r="K310" s="18"/>
      <c r="L310" s="39">
        <f t="shared" si="96"/>
        <v>105</v>
      </c>
      <c r="M310" s="8">
        <v>105</v>
      </c>
      <c r="N310" s="8"/>
      <c r="O310" s="14"/>
      <c r="P310" s="145">
        <f t="shared" si="97"/>
        <v>70.7</v>
      </c>
      <c r="Q310" s="146">
        <v>70.7</v>
      </c>
      <c r="R310" s="146"/>
      <c r="S310" s="172"/>
      <c r="T310" s="179"/>
      <c r="U310" s="168"/>
      <c r="V310" s="169"/>
      <c r="W310" s="190"/>
    </row>
    <row r="311" spans="1:23" ht="25.5">
      <c r="A311" s="47" t="s">
        <v>23</v>
      </c>
      <c r="B311" s="78">
        <v>69</v>
      </c>
      <c r="C311" s="75">
        <v>20</v>
      </c>
      <c r="D311" s="19">
        <f t="shared" si="95"/>
        <v>1786.4</v>
      </c>
      <c r="E311" s="8">
        <f>1786.4+737.1-737.1</f>
        <v>1786.4</v>
      </c>
      <c r="F311" s="8"/>
      <c r="G311" s="18"/>
      <c r="H311" s="19"/>
      <c r="I311" s="8"/>
      <c r="J311" s="8"/>
      <c r="K311" s="18"/>
      <c r="L311" s="39">
        <f t="shared" si="96"/>
        <v>1858.7</v>
      </c>
      <c r="M311" s="8">
        <v>1858.7</v>
      </c>
      <c r="N311" s="8"/>
      <c r="O311" s="14"/>
      <c r="P311" s="145">
        <f t="shared" si="97"/>
        <v>2217.1</v>
      </c>
      <c r="Q311" s="146">
        <v>2217.1</v>
      </c>
      <c r="R311" s="146"/>
      <c r="S311" s="172"/>
      <c r="T311" s="182"/>
      <c r="U311" s="168"/>
      <c r="V311" s="169"/>
      <c r="W311" s="188"/>
    </row>
    <row r="312" spans="1:23" s="12" customFormat="1" ht="15">
      <c r="A312" s="45" t="s">
        <v>47</v>
      </c>
      <c r="B312" s="70">
        <v>71</v>
      </c>
      <c r="C312" s="79"/>
      <c r="D312" s="33"/>
      <c r="E312" s="11"/>
      <c r="F312" s="11"/>
      <c r="G312" s="31"/>
      <c r="H312" s="33"/>
      <c r="I312" s="11"/>
      <c r="J312" s="11"/>
      <c r="K312" s="31"/>
      <c r="L312" s="40"/>
      <c r="M312" s="11"/>
      <c r="N312" s="11"/>
      <c r="O312" s="35"/>
      <c r="P312" s="40"/>
      <c r="Q312" s="11"/>
      <c r="R312" s="11"/>
      <c r="S312" s="35"/>
      <c r="T312" s="178"/>
      <c r="U312" s="167"/>
      <c r="V312" s="163"/>
      <c r="W312" s="187"/>
    </row>
    <row r="313" spans="1:23" s="6" customFormat="1" ht="12.75">
      <c r="A313" s="46" t="s">
        <v>8</v>
      </c>
      <c r="B313" s="77">
        <v>71</v>
      </c>
      <c r="C313" s="73" t="s">
        <v>9</v>
      </c>
      <c r="D313" s="17">
        <f>SUM(D314:D323)</f>
        <v>72777.39999999998</v>
      </c>
      <c r="E313" s="5">
        <f>SUM(E314:E323)</f>
        <v>72583.69999999998</v>
      </c>
      <c r="F313" s="5">
        <f>SUM(F314:F323)</f>
        <v>193.7</v>
      </c>
      <c r="G313" s="16">
        <f>SUM(G314:G323)</f>
        <v>0</v>
      </c>
      <c r="H313" s="17">
        <f aca="true" t="shared" si="98" ref="H313:O313">SUM(H314:H323)</f>
        <v>0</v>
      </c>
      <c r="I313" s="5">
        <f t="shared" si="98"/>
        <v>0</v>
      </c>
      <c r="J313" s="5">
        <f t="shared" si="98"/>
        <v>0</v>
      </c>
      <c r="K313" s="16">
        <f t="shared" si="98"/>
        <v>0</v>
      </c>
      <c r="L313" s="38">
        <f t="shared" si="98"/>
        <v>86847.7</v>
      </c>
      <c r="M313" s="5">
        <f t="shared" si="98"/>
        <v>86429.8</v>
      </c>
      <c r="N313" s="5">
        <f t="shared" si="98"/>
        <v>417.9</v>
      </c>
      <c r="O313" s="13">
        <f t="shared" si="98"/>
        <v>0</v>
      </c>
      <c r="P313" s="143">
        <f>SUM(P314:P323)</f>
        <v>79562</v>
      </c>
      <c r="Q313" s="144">
        <f>SUM(Q314:Q323)</f>
        <v>79368.3</v>
      </c>
      <c r="R313" s="144">
        <f>SUM(R314:R323)</f>
        <v>193.7</v>
      </c>
      <c r="S313" s="171">
        <f>SUM(S314:S323)</f>
        <v>0</v>
      </c>
      <c r="T313" s="178"/>
      <c r="U313" s="167"/>
      <c r="V313" s="163"/>
      <c r="W313" s="187"/>
    </row>
    <row r="314" spans="1:23" ht="12.75">
      <c r="A314" s="47" t="s">
        <v>10</v>
      </c>
      <c r="B314" s="78">
        <v>71</v>
      </c>
      <c r="C314" s="75">
        <v>1</v>
      </c>
      <c r="D314" s="19">
        <f aca="true" t="shared" si="99" ref="D314:D323">E314+F314+G314</f>
        <v>6798.3</v>
      </c>
      <c r="E314" s="8">
        <v>6798.3</v>
      </c>
      <c r="F314" s="8"/>
      <c r="G314" s="18"/>
      <c r="H314" s="19"/>
      <c r="I314" s="8"/>
      <c r="J314" s="8"/>
      <c r="K314" s="18"/>
      <c r="L314" s="39">
        <f aca="true" t="shared" si="100" ref="L314:L323">M314+N314+O314</f>
        <v>9021.1</v>
      </c>
      <c r="M314" s="8">
        <v>8992.4</v>
      </c>
      <c r="N314" s="8">
        <v>28.7</v>
      </c>
      <c r="O314" s="14"/>
      <c r="P314" s="145">
        <f aca="true" t="shared" si="101" ref="P314:P323">Q314+R314+S314</f>
        <v>8586</v>
      </c>
      <c r="Q314" s="146">
        <v>8586</v>
      </c>
      <c r="R314" s="146"/>
      <c r="S314" s="172"/>
      <c r="T314" s="179"/>
      <c r="U314" s="168"/>
      <c r="V314" s="169"/>
      <c r="W314" s="190"/>
    </row>
    <row r="315" spans="1:23" ht="25.5">
      <c r="A315" s="47" t="s">
        <v>12</v>
      </c>
      <c r="B315" s="78">
        <v>71</v>
      </c>
      <c r="C315" s="75">
        <v>5</v>
      </c>
      <c r="D315" s="19">
        <f t="shared" si="99"/>
        <v>2127.6</v>
      </c>
      <c r="E315" s="8">
        <v>2127.6</v>
      </c>
      <c r="F315" s="8"/>
      <c r="G315" s="18"/>
      <c r="H315" s="19"/>
      <c r="I315" s="8"/>
      <c r="J315" s="8"/>
      <c r="K315" s="18"/>
      <c r="L315" s="39">
        <f t="shared" si="100"/>
        <v>3205.9</v>
      </c>
      <c r="M315" s="8">
        <v>3205.9</v>
      </c>
      <c r="N315" s="8"/>
      <c r="O315" s="14"/>
      <c r="P315" s="145">
        <f t="shared" si="101"/>
        <v>2604.5</v>
      </c>
      <c r="Q315" s="146">
        <v>2604.5</v>
      </c>
      <c r="R315" s="146"/>
      <c r="S315" s="172"/>
      <c r="T315" s="179"/>
      <c r="U315" s="168"/>
      <c r="V315" s="169"/>
      <c r="W315" s="190"/>
    </row>
    <row r="316" spans="1:23" ht="12.75">
      <c r="A316" s="47" t="s">
        <v>13</v>
      </c>
      <c r="B316" s="78">
        <v>71</v>
      </c>
      <c r="C316" s="75">
        <v>6</v>
      </c>
      <c r="D316" s="19">
        <f t="shared" si="99"/>
        <v>55631.49999999999</v>
      </c>
      <c r="E316" s="8">
        <f>54997.2+440.6</f>
        <v>55437.799999999996</v>
      </c>
      <c r="F316" s="8">
        <v>193.7</v>
      </c>
      <c r="G316" s="18"/>
      <c r="H316" s="19"/>
      <c r="I316" s="8"/>
      <c r="J316" s="8"/>
      <c r="K316" s="18"/>
      <c r="L316" s="39">
        <f t="shared" si="100"/>
        <v>63198.2</v>
      </c>
      <c r="M316" s="8">
        <v>62976.2</v>
      </c>
      <c r="N316" s="8">
        <v>222</v>
      </c>
      <c r="O316" s="14"/>
      <c r="P316" s="145">
        <f t="shared" si="101"/>
        <v>59221.7</v>
      </c>
      <c r="Q316" s="146">
        <f>59221.7-193.7</f>
        <v>59028</v>
      </c>
      <c r="R316" s="146">
        <v>193.7</v>
      </c>
      <c r="S316" s="172"/>
      <c r="T316" s="179"/>
      <c r="U316" s="168"/>
      <c r="V316" s="169"/>
      <c r="W316" s="190"/>
    </row>
    <row r="317" spans="1:23" ht="25.5">
      <c r="A317" s="47" t="s">
        <v>14</v>
      </c>
      <c r="B317" s="78">
        <v>71</v>
      </c>
      <c r="C317" s="75">
        <v>8</v>
      </c>
      <c r="D317" s="19">
        <f t="shared" si="99"/>
        <v>3001</v>
      </c>
      <c r="E317" s="8">
        <f>2876.6+124.4</f>
        <v>3001</v>
      </c>
      <c r="F317" s="8"/>
      <c r="G317" s="18"/>
      <c r="H317" s="19"/>
      <c r="I317" s="8"/>
      <c r="J317" s="8"/>
      <c r="K317" s="18"/>
      <c r="L317" s="39">
        <f t="shared" si="100"/>
        <v>4920.3</v>
      </c>
      <c r="M317" s="8">
        <v>4920.3</v>
      </c>
      <c r="N317" s="8"/>
      <c r="O317" s="14"/>
      <c r="P317" s="145">
        <f t="shared" si="101"/>
        <v>3651.6</v>
      </c>
      <c r="Q317" s="146">
        <v>3651.6</v>
      </c>
      <c r="R317" s="146"/>
      <c r="S317" s="172"/>
      <c r="T317" s="179"/>
      <c r="U317" s="168"/>
      <c r="V317" s="169"/>
      <c r="W317" s="190"/>
    </row>
    <row r="318" spans="1:23" ht="12.75">
      <c r="A318" s="47" t="s">
        <v>16</v>
      </c>
      <c r="B318" s="78">
        <v>71</v>
      </c>
      <c r="C318" s="75">
        <v>10</v>
      </c>
      <c r="D318" s="19">
        <f t="shared" si="99"/>
        <v>2520.8</v>
      </c>
      <c r="E318" s="8">
        <f>2165.3+331.6+23.9</f>
        <v>2520.8</v>
      </c>
      <c r="F318" s="8"/>
      <c r="G318" s="18"/>
      <c r="H318" s="19"/>
      <c r="I318" s="8"/>
      <c r="J318" s="8"/>
      <c r="K318" s="18"/>
      <c r="L318" s="39">
        <f t="shared" si="100"/>
        <v>2913</v>
      </c>
      <c r="M318" s="8">
        <v>2913</v>
      </c>
      <c r="N318" s="8"/>
      <c r="O318" s="14"/>
      <c r="P318" s="145">
        <f t="shared" si="101"/>
        <v>2917.9</v>
      </c>
      <c r="Q318" s="146">
        <f>2496.6+421.3</f>
        <v>2917.9</v>
      </c>
      <c r="R318" s="146"/>
      <c r="S318" s="172"/>
      <c r="T318" s="179"/>
      <c r="U318" s="168"/>
      <c r="V318" s="169"/>
      <c r="W318" s="190"/>
    </row>
    <row r="319" spans="1:23" ht="25.5">
      <c r="A319" s="47" t="s">
        <v>17</v>
      </c>
      <c r="B319" s="78">
        <v>71</v>
      </c>
      <c r="C319" s="75">
        <v>11</v>
      </c>
      <c r="D319" s="19">
        <f t="shared" si="99"/>
        <v>231.9</v>
      </c>
      <c r="E319" s="8">
        <v>231.9</v>
      </c>
      <c r="F319" s="8"/>
      <c r="G319" s="18"/>
      <c r="H319" s="19"/>
      <c r="I319" s="8"/>
      <c r="J319" s="8"/>
      <c r="K319" s="18"/>
      <c r="L319" s="39">
        <f t="shared" si="100"/>
        <v>204.9</v>
      </c>
      <c r="M319" s="8">
        <v>204.9</v>
      </c>
      <c r="N319" s="8"/>
      <c r="O319" s="14"/>
      <c r="P319" s="145">
        <f t="shared" si="101"/>
        <v>299.1</v>
      </c>
      <c r="Q319" s="146">
        <v>299.1</v>
      </c>
      <c r="R319" s="146"/>
      <c r="S319" s="172"/>
      <c r="T319" s="179"/>
      <c r="U319" s="168"/>
      <c r="V319" s="169"/>
      <c r="W319" s="190"/>
    </row>
    <row r="320" spans="1:23" ht="12.75">
      <c r="A320" s="47" t="s">
        <v>19</v>
      </c>
      <c r="B320" s="78">
        <v>71</v>
      </c>
      <c r="C320" s="75">
        <v>13</v>
      </c>
      <c r="D320" s="19">
        <f t="shared" si="99"/>
        <v>133.4</v>
      </c>
      <c r="E320" s="8">
        <v>133.4</v>
      </c>
      <c r="F320" s="8"/>
      <c r="G320" s="18"/>
      <c r="H320" s="19"/>
      <c r="I320" s="8"/>
      <c r="J320" s="8"/>
      <c r="K320" s="18"/>
      <c r="L320" s="39">
        <f t="shared" si="100"/>
        <v>215.8</v>
      </c>
      <c r="M320" s="8">
        <v>215.8</v>
      </c>
      <c r="N320" s="8"/>
      <c r="O320" s="14"/>
      <c r="P320" s="145">
        <f t="shared" si="101"/>
        <v>178.2</v>
      </c>
      <c r="Q320" s="146">
        <v>178.2</v>
      </c>
      <c r="R320" s="146"/>
      <c r="S320" s="172"/>
      <c r="T320" s="179"/>
      <c r="U320" s="168"/>
      <c r="V320" s="169"/>
      <c r="W320" s="190"/>
    </row>
    <row r="321" spans="1:23" ht="25.5">
      <c r="A321" s="47" t="s">
        <v>27</v>
      </c>
      <c r="B321" s="78">
        <v>71</v>
      </c>
      <c r="C321" s="75">
        <v>15</v>
      </c>
      <c r="D321" s="19">
        <f t="shared" si="99"/>
        <v>0</v>
      </c>
      <c r="E321" s="8"/>
      <c r="F321" s="8"/>
      <c r="G321" s="18"/>
      <c r="H321" s="19"/>
      <c r="I321" s="8"/>
      <c r="J321" s="8"/>
      <c r="K321" s="18"/>
      <c r="L321" s="39">
        <f t="shared" si="100"/>
        <v>297</v>
      </c>
      <c r="M321" s="8">
        <v>297</v>
      </c>
      <c r="N321" s="8"/>
      <c r="O321" s="14"/>
      <c r="P321" s="145">
        <f t="shared" si="101"/>
        <v>0</v>
      </c>
      <c r="Q321" s="146">
        <v>0</v>
      </c>
      <c r="R321" s="146"/>
      <c r="S321" s="172"/>
      <c r="T321" s="179"/>
      <c r="U321" s="168"/>
      <c r="V321" s="169"/>
      <c r="W321" s="190"/>
    </row>
    <row r="322" spans="1:23" ht="25.5">
      <c r="A322" s="47" t="s">
        <v>22</v>
      </c>
      <c r="B322" s="78">
        <v>71</v>
      </c>
      <c r="C322" s="75">
        <v>19</v>
      </c>
      <c r="D322" s="19">
        <f t="shared" si="99"/>
        <v>53.9</v>
      </c>
      <c r="E322" s="8">
        <v>53.9</v>
      </c>
      <c r="F322" s="8"/>
      <c r="G322" s="18"/>
      <c r="H322" s="19"/>
      <c r="I322" s="8"/>
      <c r="J322" s="8"/>
      <c r="K322" s="18"/>
      <c r="L322" s="39">
        <f t="shared" si="100"/>
        <v>80</v>
      </c>
      <c r="M322" s="8">
        <v>80</v>
      </c>
      <c r="N322" s="8"/>
      <c r="O322" s="14"/>
      <c r="P322" s="145">
        <f t="shared" si="101"/>
        <v>70.7</v>
      </c>
      <c r="Q322" s="146">
        <v>70.7</v>
      </c>
      <c r="R322" s="146"/>
      <c r="S322" s="172"/>
      <c r="T322" s="179"/>
      <c r="U322" s="168"/>
      <c r="V322" s="169"/>
      <c r="W322" s="190"/>
    </row>
    <row r="323" spans="1:23" ht="25.5">
      <c r="A323" s="47" t="s">
        <v>23</v>
      </c>
      <c r="B323" s="78">
        <v>71</v>
      </c>
      <c r="C323" s="75">
        <v>20</v>
      </c>
      <c r="D323" s="19">
        <f t="shared" si="99"/>
        <v>2279</v>
      </c>
      <c r="E323" s="8">
        <f>1637.5+675.7-34.2</f>
        <v>2279</v>
      </c>
      <c r="F323" s="8"/>
      <c r="G323" s="18"/>
      <c r="H323" s="19"/>
      <c r="I323" s="8"/>
      <c r="J323" s="8"/>
      <c r="K323" s="18"/>
      <c r="L323" s="39">
        <f t="shared" si="100"/>
        <v>2791.5</v>
      </c>
      <c r="M323" s="8">
        <v>2624.3</v>
      </c>
      <c r="N323" s="8">
        <v>167.2</v>
      </c>
      <c r="O323" s="14"/>
      <c r="P323" s="145">
        <f t="shared" si="101"/>
        <v>2032.3</v>
      </c>
      <c r="Q323" s="146">
        <v>2032.3</v>
      </c>
      <c r="R323" s="146"/>
      <c r="S323" s="172"/>
      <c r="T323" s="182"/>
      <c r="U323" s="168"/>
      <c r="V323" s="169"/>
      <c r="W323" s="188"/>
    </row>
    <row r="324" spans="1:23" s="12" customFormat="1" ht="15">
      <c r="A324" s="45" t="s">
        <v>48</v>
      </c>
      <c r="B324" s="70">
        <v>72</v>
      </c>
      <c r="C324" s="79"/>
      <c r="D324" s="33"/>
      <c r="E324" s="11"/>
      <c r="F324" s="11"/>
      <c r="G324" s="31"/>
      <c r="H324" s="33"/>
      <c r="I324" s="11"/>
      <c r="J324" s="11"/>
      <c r="K324" s="31"/>
      <c r="L324" s="40"/>
      <c r="M324" s="11"/>
      <c r="N324" s="11"/>
      <c r="O324" s="35"/>
      <c r="P324" s="40"/>
      <c r="Q324" s="11"/>
      <c r="R324" s="11"/>
      <c r="S324" s="35"/>
      <c r="T324" s="178"/>
      <c r="U324" s="167"/>
      <c r="V324" s="163"/>
      <c r="W324" s="187"/>
    </row>
    <row r="325" spans="1:23" s="6" customFormat="1" ht="12.75">
      <c r="A325" s="46" t="s">
        <v>8</v>
      </c>
      <c r="B325" s="77">
        <v>72</v>
      </c>
      <c r="C325" s="73" t="s">
        <v>9</v>
      </c>
      <c r="D325" s="21">
        <f>SUM(D326:D335)</f>
        <v>58553.100000000006</v>
      </c>
      <c r="E325" s="15">
        <f>SUM(E326:E335)</f>
        <v>58504.100000000006</v>
      </c>
      <c r="F325" s="15">
        <f>SUM(F326:F335)</f>
        <v>49</v>
      </c>
      <c r="G325" s="22">
        <f>SUM(G326:G335)</f>
        <v>0</v>
      </c>
      <c r="H325" s="21">
        <f aca="true" t="shared" si="102" ref="H325:O325">SUM(H326:H335)</f>
        <v>0</v>
      </c>
      <c r="I325" s="15">
        <f t="shared" si="102"/>
        <v>0</v>
      </c>
      <c r="J325" s="15">
        <f t="shared" si="102"/>
        <v>0</v>
      </c>
      <c r="K325" s="22">
        <f t="shared" si="102"/>
        <v>0</v>
      </c>
      <c r="L325" s="42">
        <f t="shared" si="102"/>
        <v>65289.5</v>
      </c>
      <c r="M325" s="15">
        <f t="shared" si="102"/>
        <v>65289.5</v>
      </c>
      <c r="N325" s="15">
        <f t="shared" si="102"/>
        <v>0</v>
      </c>
      <c r="O325" s="27">
        <f t="shared" si="102"/>
        <v>0</v>
      </c>
      <c r="P325" s="152">
        <f>SUM(P326:P335)</f>
        <v>64708.59999999999</v>
      </c>
      <c r="Q325" s="153">
        <f>SUM(Q326:Q335)</f>
        <v>64659.59999999999</v>
      </c>
      <c r="R325" s="153">
        <f>SUM(R326:R335)</f>
        <v>49</v>
      </c>
      <c r="S325" s="174">
        <f>SUM(S326:S335)</f>
        <v>0</v>
      </c>
      <c r="T325" s="178"/>
      <c r="U325" s="167"/>
      <c r="V325" s="163"/>
      <c r="W325" s="187"/>
    </row>
    <row r="326" spans="1:23" ht="12.75">
      <c r="A326" s="47" t="s">
        <v>10</v>
      </c>
      <c r="B326" s="78">
        <v>72</v>
      </c>
      <c r="C326" s="75">
        <v>1</v>
      </c>
      <c r="D326" s="23">
        <f aca="true" t="shared" si="103" ref="D326:D335">E326+F326+G326</f>
        <v>6404.5</v>
      </c>
      <c r="E326" s="8">
        <v>6404.5</v>
      </c>
      <c r="F326" s="8"/>
      <c r="G326" s="18"/>
      <c r="H326" s="23"/>
      <c r="I326" s="8"/>
      <c r="J326" s="8"/>
      <c r="K326" s="18"/>
      <c r="L326" s="43">
        <f aca="true" t="shared" si="104" ref="L326:L335">M326+N326+O326</f>
        <v>7648.4</v>
      </c>
      <c r="M326" s="8">
        <v>7648.4</v>
      </c>
      <c r="N326" s="8"/>
      <c r="O326" s="14"/>
      <c r="P326" s="154">
        <f aca="true" t="shared" si="105" ref="P326:P335">Q326+R326+S326</f>
        <v>8243.6</v>
      </c>
      <c r="Q326" s="146">
        <v>8243.6</v>
      </c>
      <c r="R326" s="146"/>
      <c r="S326" s="172"/>
      <c r="T326" s="179"/>
      <c r="U326" s="168"/>
      <c r="V326" s="169"/>
      <c r="W326" s="190"/>
    </row>
    <row r="327" spans="1:23" ht="25.5">
      <c r="A327" s="47" t="s">
        <v>12</v>
      </c>
      <c r="B327" s="78">
        <v>72</v>
      </c>
      <c r="C327" s="75">
        <v>5</v>
      </c>
      <c r="D327" s="23">
        <f t="shared" si="103"/>
        <v>3380.1</v>
      </c>
      <c r="E327" s="8">
        <v>3380.1</v>
      </c>
      <c r="F327" s="8"/>
      <c r="G327" s="18"/>
      <c r="H327" s="23"/>
      <c r="I327" s="8"/>
      <c r="J327" s="8"/>
      <c r="K327" s="18"/>
      <c r="L327" s="43">
        <f t="shared" si="104"/>
        <v>4293.6</v>
      </c>
      <c r="M327" s="8">
        <v>4293.6</v>
      </c>
      <c r="N327" s="8"/>
      <c r="O327" s="14"/>
      <c r="P327" s="154">
        <f t="shared" si="105"/>
        <v>4076.2</v>
      </c>
      <c r="Q327" s="146">
        <v>4076.2</v>
      </c>
      <c r="R327" s="146"/>
      <c r="S327" s="172"/>
      <c r="T327" s="179"/>
      <c r="U327" s="168"/>
      <c r="V327" s="169"/>
      <c r="W327" s="190"/>
    </row>
    <row r="328" spans="1:23" ht="12.75">
      <c r="A328" s="47" t="s">
        <v>13</v>
      </c>
      <c r="B328" s="78">
        <v>72</v>
      </c>
      <c r="C328" s="75">
        <v>6</v>
      </c>
      <c r="D328" s="23">
        <f t="shared" si="103"/>
        <v>41325.5</v>
      </c>
      <c r="E328" s="8">
        <f>40835.9+440.6</f>
        <v>41276.5</v>
      </c>
      <c r="F328" s="8">
        <v>49</v>
      </c>
      <c r="G328" s="18"/>
      <c r="H328" s="23"/>
      <c r="I328" s="8"/>
      <c r="J328" s="8"/>
      <c r="K328" s="18"/>
      <c r="L328" s="43">
        <f t="shared" si="104"/>
        <v>43993.5</v>
      </c>
      <c r="M328" s="8">
        <v>43993.5</v>
      </c>
      <c r="N328" s="8"/>
      <c r="O328" s="14"/>
      <c r="P328" s="154">
        <f t="shared" si="105"/>
        <v>43563.9</v>
      </c>
      <c r="Q328" s="146">
        <f>43563.9-49</f>
        <v>43514.9</v>
      </c>
      <c r="R328" s="146">
        <v>49</v>
      </c>
      <c r="S328" s="172"/>
      <c r="T328" s="179"/>
      <c r="U328" s="168"/>
      <c r="V328" s="169"/>
      <c r="W328" s="190"/>
    </row>
    <row r="329" spans="1:23" ht="25.5">
      <c r="A329" s="47" t="s">
        <v>14</v>
      </c>
      <c r="B329" s="78">
        <v>72</v>
      </c>
      <c r="C329" s="75">
        <v>8</v>
      </c>
      <c r="D329" s="23">
        <f t="shared" si="103"/>
        <v>2495</v>
      </c>
      <c r="E329" s="8">
        <f>2370.6+124.4</f>
        <v>2495</v>
      </c>
      <c r="F329" s="8"/>
      <c r="G329" s="18"/>
      <c r="H329" s="23"/>
      <c r="I329" s="8"/>
      <c r="J329" s="8"/>
      <c r="K329" s="18"/>
      <c r="L329" s="43">
        <f t="shared" si="104"/>
        <v>3600.3</v>
      </c>
      <c r="M329" s="8">
        <v>3600.3</v>
      </c>
      <c r="N329" s="8"/>
      <c r="O329" s="14"/>
      <c r="P329" s="154">
        <f t="shared" si="105"/>
        <v>2910.4</v>
      </c>
      <c r="Q329" s="146">
        <v>2910.4</v>
      </c>
      <c r="R329" s="146"/>
      <c r="S329" s="172"/>
      <c r="T329" s="179"/>
      <c r="U329" s="168"/>
      <c r="V329" s="169"/>
      <c r="W329" s="190"/>
    </row>
    <row r="330" spans="1:23" ht="12.75">
      <c r="A330" s="47" t="s">
        <v>16</v>
      </c>
      <c r="B330" s="78">
        <v>72</v>
      </c>
      <c r="C330" s="75">
        <v>10</v>
      </c>
      <c r="D330" s="23">
        <f t="shared" si="103"/>
        <v>3189</v>
      </c>
      <c r="E330" s="8">
        <f>2857.4+331.6</f>
        <v>3189</v>
      </c>
      <c r="F330" s="8"/>
      <c r="G330" s="18"/>
      <c r="H330" s="23"/>
      <c r="I330" s="8"/>
      <c r="J330" s="8"/>
      <c r="K330" s="18"/>
      <c r="L330" s="43">
        <f t="shared" si="104"/>
        <v>3693.4</v>
      </c>
      <c r="M330" s="8">
        <v>3693.4</v>
      </c>
      <c r="N330" s="8"/>
      <c r="O330" s="14"/>
      <c r="P330" s="154">
        <f t="shared" si="105"/>
        <v>3703.7000000000003</v>
      </c>
      <c r="Q330" s="146">
        <f>3282.4+421.3</f>
        <v>3703.7000000000003</v>
      </c>
      <c r="R330" s="146"/>
      <c r="S330" s="172"/>
      <c r="T330" s="179"/>
      <c r="U330" s="168"/>
      <c r="V330" s="169"/>
      <c r="W330" s="190"/>
    </row>
    <row r="331" spans="1:23" ht="25.5">
      <c r="A331" s="47" t="s">
        <v>17</v>
      </c>
      <c r="B331" s="78">
        <v>72</v>
      </c>
      <c r="C331" s="75">
        <v>11</v>
      </c>
      <c r="D331" s="23">
        <f t="shared" si="103"/>
        <v>231.9</v>
      </c>
      <c r="E331" s="8">
        <v>231.9</v>
      </c>
      <c r="F331" s="8"/>
      <c r="G331" s="18"/>
      <c r="H331" s="23"/>
      <c r="I331" s="8"/>
      <c r="J331" s="8"/>
      <c r="K331" s="18"/>
      <c r="L331" s="43">
        <f t="shared" si="104"/>
        <v>259.1</v>
      </c>
      <c r="M331" s="8">
        <v>259.1</v>
      </c>
      <c r="N331" s="8"/>
      <c r="O331" s="14"/>
      <c r="P331" s="154">
        <f t="shared" si="105"/>
        <v>299.1</v>
      </c>
      <c r="Q331" s="146">
        <v>299.1</v>
      </c>
      <c r="R331" s="146"/>
      <c r="S331" s="172"/>
      <c r="T331" s="179"/>
      <c r="U331" s="168"/>
      <c r="V331" s="169"/>
      <c r="W331" s="190"/>
    </row>
    <row r="332" spans="1:23" ht="12.75">
      <c r="A332" s="47" t="s">
        <v>19</v>
      </c>
      <c r="B332" s="78">
        <v>72</v>
      </c>
      <c r="C332" s="75">
        <v>13</v>
      </c>
      <c r="D332" s="23">
        <f t="shared" si="103"/>
        <v>133.4</v>
      </c>
      <c r="E332" s="8">
        <v>133.4</v>
      </c>
      <c r="F332" s="8"/>
      <c r="G332" s="18"/>
      <c r="H332" s="23"/>
      <c r="I332" s="8"/>
      <c r="J332" s="8"/>
      <c r="K332" s="18"/>
      <c r="L332" s="43">
        <f t="shared" si="104"/>
        <v>200.1</v>
      </c>
      <c r="M332" s="8">
        <v>200.1</v>
      </c>
      <c r="N332" s="8"/>
      <c r="O332" s="14"/>
      <c r="P332" s="154">
        <f t="shared" si="105"/>
        <v>178.2</v>
      </c>
      <c r="Q332" s="146">
        <v>178.2</v>
      </c>
      <c r="R332" s="146"/>
      <c r="S332" s="172"/>
      <c r="T332" s="179"/>
      <c r="U332" s="168"/>
      <c r="V332" s="169"/>
      <c r="W332" s="190"/>
    </row>
    <row r="333" spans="1:23" ht="25.5">
      <c r="A333" s="47" t="s">
        <v>27</v>
      </c>
      <c r="B333" s="78">
        <v>72</v>
      </c>
      <c r="C333" s="75">
        <v>15</v>
      </c>
      <c r="D333" s="23">
        <f t="shared" si="103"/>
        <v>0</v>
      </c>
      <c r="E333" s="8"/>
      <c r="F333" s="8"/>
      <c r="G333" s="18"/>
      <c r="H333" s="23"/>
      <c r="I333" s="8"/>
      <c r="J333" s="8"/>
      <c r="K333" s="18"/>
      <c r="L333" s="43">
        <f t="shared" si="104"/>
        <v>0</v>
      </c>
      <c r="M333" s="8"/>
      <c r="N333" s="8"/>
      <c r="O333" s="14"/>
      <c r="P333" s="154">
        <f t="shared" si="105"/>
        <v>0</v>
      </c>
      <c r="Q333" s="146"/>
      <c r="R333" s="146"/>
      <c r="S333" s="172"/>
      <c r="T333" s="179"/>
      <c r="U333" s="168"/>
      <c r="V333" s="169"/>
      <c r="W333" s="190"/>
    </row>
    <row r="334" spans="1:23" ht="25.5">
      <c r="A334" s="47" t="s">
        <v>22</v>
      </c>
      <c r="B334" s="78">
        <v>72</v>
      </c>
      <c r="C334" s="75">
        <v>19</v>
      </c>
      <c r="D334" s="23">
        <f t="shared" si="103"/>
        <v>53.9</v>
      </c>
      <c r="E334" s="8">
        <v>53.9</v>
      </c>
      <c r="F334" s="8"/>
      <c r="G334" s="18"/>
      <c r="H334" s="23"/>
      <c r="I334" s="8"/>
      <c r="J334" s="8"/>
      <c r="K334" s="18"/>
      <c r="L334" s="43">
        <f t="shared" si="104"/>
        <v>86.6</v>
      </c>
      <c r="M334" s="8">
        <v>86.6</v>
      </c>
      <c r="N334" s="8"/>
      <c r="O334" s="14"/>
      <c r="P334" s="154">
        <f t="shared" si="105"/>
        <v>70.7</v>
      </c>
      <c r="Q334" s="146">
        <v>70.7</v>
      </c>
      <c r="R334" s="146"/>
      <c r="S334" s="172"/>
      <c r="T334" s="179"/>
      <c r="U334" s="168"/>
      <c r="V334" s="169"/>
      <c r="W334" s="190"/>
    </row>
    <row r="335" spans="1:23" ht="25.5">
      <c r="A335" s="47" t="s">
        <v>23</v>
      </c>
      <c r="B335" s="78">
        <v>72</v>
      </c>
      <c r="C335" s="75">
        <v>20</v>
      </c>
      <c r="D335" s="23">
        <f t="shared" si="103"/>
        <v>1339.8</v>
      </c>
      <c r="E335" s="8">
        <f>1339.8+552.8-552.8</f>
        <v>1339.8</v>
      </c>
      <c r="F335" s="8"/>
      <c r="G335" s="18"/>
      <c r="H335" s="23"/>
      <c r="I335" s="8"/>
      <c r="J335" s="8"/>
      <c r="K335" s="18"/>
      <c r="L335" s="43">
        <f t="shared" si="104"/>
        <v>1514.5</v>
      </c>
      <c r="M335" s="8">
        <v>1514.5</v>
      </c>
      <c r="N335" s="8"/>
      <c r="O335" s="14"/>
      <c r="P335" s="154">
        <f t="shared" si="105"/>
        <v>1662.8</v>
      </c>
      <c r="Q335" s="146">
        <v>1662.8</v>
      </c>
      <c r="R335" s="146"/>
      <c r="S335" s="172"/>
      <c r="T335" s="182"/>
      <c r="U335" s="168"/>
      <c r="V335" s="169"/>
      <c r="W335" s="188"/>
    </row>
    <row r="336" spans="1:23" s="12" customFormat="1" ht="15">
      <c r="A336" s="45" t="s">
        <v>49</v>
      </c>
      <c r="B336" s="70">
        <v>74</v>
      </c>
      <c r="C336" s="79"/>
      <c r="D336" s="33"/>
      <c r="E336" s="11"/>
      <c r="F336" s="11"/>
      <c r="G336" s="31"/>
      <c r="H336" s="33"/>
      <c r="I336" s="11"/>
      <c r="J336" s="11"/>
      <c r="K336" s="31"/>
      <c r="L336" s="40"/>
      <c r="M336" s="11"/>
      <c r="N336" s="11"/>
      <c r="O336" s="35"/>
      <c r="P336" s="40"/>
      <c r="Q336" s="11"/>
      <c r="R336" s="11"/>
      <c r="S336" s="35"/>
      <c r="T336" s="178"/>
      <c r="U336" s="167"/>
      <c r="V336" s="163"/>
      <c r="W336" s="187"/>
    </row>
    <row r="337" spans="1:23" s="6" customFormat="1" ht="12.75">
      <c r="A337" s="46" t="s">
        <v>8</v>
      </c>
      <c r="B337" s="77">
        <v>74</v>
      </c>
      <c r="C337" s="73" t="s">
        <v>9</v>
      </c>
      <c r="D337" s="17">
        <f>SUM(D338:D348)</f>
        <v>130050.29999999997</v>
      </c>
      <c r="E337" s="5">
        <f>SUM(E338:E348)</f>
        <v>129467.79999999999</v>
      </c>
      <c r="F337" s="5">
        <f>SUM(F338:F348)</f>
        <v>582.5</v>
      </c>
      <c r="G337" s="16">
        <f>SUM(G338:G348)</f>
        <v>0</v>
      </c>
      <c r="H337" s="17">
        <f aca="true" t="shared" si="106" ref="H337:O337">SUM(H338:H348)</f>
        <v>0</v>
      </c>
      <c r="I337" s="5">
        <f t="shared" si="106"/>
        <v>0</v>
      </c>
      <c r="J337" s="5">
        <f t="shared" si="106"/>
        <v>0</v>
      </c>
      <c r="K337" s="16">
        <f t="shared" si="106"/>
        <v>0</v>
      </c>
      <c r="L337" s="38">
        <f t="shared" si="106"/>
        <v>145225.09999999998</v>
      </c>
      <c r="M337" s="5">
        <f t="shared" si="106"/>
        <v>144495</v>
      </c>
      <c r="N337" s="5">
        <f t="shared" si="106"/>
        <v>730.1</v>
      </c>
      <c r="O337" s="13">
        <f t="shared" si="106"/>
        <v>0</v>
      </c>
      <c r="P337" s="143">
        <f>SUM(P338:P348)</f>
        <v>142459.8</v>
      </c>
      <c r="Q337" s="144">
        <f>SUM(Q338:Q348)</f>
        <v>141877.3</v>
      </c>
      <c r="R337" s="144">
        <f>SUM(R338:R348)</f>
        <v>582.5</v>
      </c>
      <c r="S337" s="171">
        <f>SUM(S338:S348)</f>
        <v>0</v>
      </c>
      <c r="T337" s="178"/>
      <c r="U337" s="167"/>
      <c r="V337" s="163"/>
      <c r="W337" s="187"/>
    </row>
    <row r="338" spans="1:23" ht="12.75">
      <c r="A338" s="47" t="s">
        <v>10</v>
      </c>
      <c r="B338" s="78">
        <v>74</v>
      </c>
      <c r="C338" s="75">
        <v>1</v>
      </c>
      <c r="D338" s="19">
        <f aca="true" t="shared" si="107" ref="D338:D348">E338+F338+G338</f>
        <v>10736.3</v>
      </c>
      <c r="E338" s="8">
        <v>10736.3</v>
      </c>
      <c r="F338" s="8"/>
      <c r="G338" s="18"/>
      <c r="H338" s="19"/>
      <c r="I338" s="8"/>
      <c r="J338" s="8"/>
      <c r="K338" s="18"/>
      <c r="L338" s="39">
        <f aca="true" t="shared" si="108" ref="L338:L348">M338+N338+O338</f>
        <v>12858.9</v>
      </c>
      <c r="M338" s="8">
        <v>12858.9</v>
      </c>
      <c r="N338" s="8"/>
      <c r="O338" s="14"/>
      <c r="P338" s="145">
        <f aca="true" t="shared" si="109" ref="P338:P348">Q338+R338+S338</f>
        <v>13590.1</v>
      </c>
      <c r="Q338" s="146">
        <v>13590.1</v>
      </c>
      <c r="R338" s="146"/>
      <c r="S338" s="172"/>
      <c r="T338" s="179"/>
      <c r="U338" s="168"/>
      <c r="V338" s="169"/>
      <c r="W338" s="190"/>
    </row>
    <row r="339" spans="1:23" ht="12.75">
      <c r="A339" s="47" t="s">
        <v>11</v>
      </c>
      <c r="B339" s="78">
        <v>74</v>
      </c>
      <c r="C339" s="75">
        <v>3</v>
      </c>
      <c r="D339" s="19">
        <f t="shared" si="107"/>
        <v>84.9</v>
      </c>
      <c r="E339" s="8">
        <v>84.9</v>
      </c>
      <c r="F339" s="8"/>
      <c r="G339" s="18"/>
      <c r="H339" s="19"/>
      <c r="I339" s="8"/>
      <c r="J339" s="8"/>
      <c r="K339" s="18"/>
      <c r="L339" s="39">
        <f t="shared" si="108"/>
        <v>107.4</v>
      </c>
      <c r="M339" s="8">
        <v>107.4</v>
      </c>
      <c r="N339" s="8"/>
      <c r="O339" s="14"/>
      <c r="P339" s="145">
        <f t="shared" si="109"/>
        <v>99.8</v>
      </c>
      <c r="Q339" s="146">
        <v>99.8</v>
      </c>
      <c r="R339" s="146"/>
      <c r="S339" s="172"/>
      <c r="T339" s="179"/>
      <c r="U339" s="168"/>
      <c r="V339" s="169"/>
      <c r="W339" s="190"/>
    </row>
    <row r="340" spans="1:23" ht="25.5">
      <c r="A340" s="47" t="s">
        <v>12</v>
      </c>
      <c r="B340" s="78">
        <v>74</v>
      </c>
      <c r="C340" s="75">
        <v>5</v>
      </c>
      <c r="D340" s="19">
        <f t="shared" si="107"/>
        <v>4747.4</v>
      </c>
      <c r="E340" s="8">
        <v>4747.4</v>
      </c>
      <c r="F340" s="8"/>
      <c r="G340" s="18"/>
      <c r="H340" s="19"/>
      <c r="I340" s="8"/>
      <c r="J340" s="8"/>
      <c r="K340" s="18"/>
      <c r="L340" s="39">
        <f t="shared" si="108"/>
        <v>5927.6</v>
      </c>
      <c r="M340" s="8">
        <v>5927.6</v>
      </c>
      <c r="N340" s="8"/>
      <c r="O340" s="14"/>
      <c r="P340" s="145">
        <f t="shared" si="109"/>
        <v>5715</v>
      </c>
      <c r="Q340" s="146">
        <v>5715</v>
      </c>
      <c r="R340" s="146"/>
      <c r="S340" s="172"/>
      <c r="T340" s="179"/>
      <c r="U340" s="168"/>
      <c r="V340" s="169"/>
      <c r="W340" s="190"/>
    </row>
    <row r="341" spans="1:23" ht="12.75">
      <c r="A341" s="47" t="s">
        <v>13</v>
      </c>
      <c r="B341" s="78">
        <v>74</v>
      </c>
      <c r="C341" s="75">
        <v>6</v>
      </c>
      <c r="D341" s="19">
        <f t="shared" si="107"/>
        <v>102289.3</v>
      </c>
      <c r="E341" s="8">
        <f>101168+560.8</f>
        <v>101728.8</v>
      </c>
      <c r="F341" s="8">
        <v>560.5</v>
      </c>
      <c r="G341" s="18"/>
      <c r="H341" s="19"/>
      <c r="I341" s="8"/>
      <c r="J341" s="8"/>
      <c r="K341" s="18"/>
      <c r="L341" s="39">
        <f t="shared" si="108"/>
        <v>109120.29999999999</v>
      </c>
      <c r="M341" s="8">
        <v>108554.9</v>
      </c>
      <c r="N341" s="8">
        <v>565.4</v>
      </c>
      <c r="O341" s="14"/>
      <c r="P341" s="145">
        <f t="shared" si="109"/>
        <v>107734.6</v>
      </c>
      <c r="Q341" s="146">
        <f>107734.6-560.5</f>
        <v>107174.1</v>
      </c>
      <c r="R341" s="146">
        <v>560.5</v>
      </c>
      <c r="S341" s="172"/>
      <c r="T341" s="179"/>
      <c r="U341" s="168"/>
      <c r="V341" s="169"/>
      <c r="W341" s="190"/>
    </row>
    <row r="342" spans="1:23" ht="25.5">
      <c r="A342" s="47" t="s">
        <v>14</v>
      </c>
      <c r="B342" s="78">
        <v>74</v>
      </c>
      <c r="C342" s="75">
        <v>8</v>
      </c>
      <c r="D342" s="19">
        <f t="shared" si="107"/>
        <v>5276.4</v>
      </c>
      <c r="E342" s="8">
        <f>5133.9+124.4</f>
        <v>5258.299999999999</v>
      </c>
      <c r="F342" s="8">
        <v>18.1</v>
      </c>
      <c r="G342" s="18"/>
      <c r="H342" s="19"/>
      <c r="I342" s="8"/>
      <c r="J342" s="8"/>
      <c r="K342" s="18"/>
      <c r="L342" s="39">
        <f t="shared" si="108"/>
        <v>7883.7</v>
      </c>
      <c r="M342" s="8">
        <v>7841.4</v>
      </c>
      <c r="N342" s="8">
        <v>42.3</v>
      </c>
      <c r="O342" s="14"/>
      <c r="P342" s="145">
        <f t="shared" si="109"/>
        <v>6165</v>
      </c>
      <c r="Q342" s="146">
        <f>6165-18.1</f>
        <v>6146.9</v>
      </c>
      <c r="R342" s="146">
        <v>18.1</v>
      </c>
      <c r="S342" s="172"/>
      <c r="T342" s="179"/>
      <c r="U342" s="168"/>
      <c r="V342" s="169"/>
      <c r="W342" s="190"/>
    </row>
    <row r="343" spans="1:23" ht="12.75">
      <c r="A343" s="47" t="s">
        <v>16</v>
      </c>
      <c r="B343" s="78">
        <v>74</v>
      </c>
      <c r="C343" s="75">
        <v>10</v>
      </c>
      <c r="D343" s="19">
        <f t="shared" si="107"/>
        <v>4127</v>
      </c>
      <c r="E343" s="8">
        <f>3708.6+414.5</f>
        <v>4123.1</v>
      </c>
      <c r="F343" s="8">
        <v>3.9</v>
      </c>
      <c r="G343" s="18"/>
      <c r="H343" s="19"/>
      <c r="I343" s="8"/>
      <c r="J343" s="8"/>
      <c r="K343" s="18"/>
      <c r="L343" s="39">
        <f t="shared" si="108"/>
        <v>5709.8</v>
      </c>
      <c r="M343" s="8">
        <v>5624.6</v>
      </c>
      <c r="N343" s="8">
        <v>85.2</v>
      </c>
      <c r="O343" s="14"/>
      <c r="P343" s="145">
        <f t="shared" si="109"/>
        <v>5681.3</v>
      </c>
      <c r="Q343" s="146">
        <f>5150.8+526.6</f>
        <v>5677.400000000001</v>
      </c>
      <c r="R343" s="146">
        <v>3.9</v>
      </c>
      <c r="S343" s="172"/>
      <c r="T343" s="179"/>
      <c r="U343" s="168"/>
      <c r="V343" s="169"/>
      <c r="W343" s="190"/>
    </row>
    <row r="344" spans="1:23" ht="25.5">
      <c r="A344" s="47" t="s">
        <v>17</v>
      </c>
      <c r="B344" s="78">
        <v>74</v>
      </c>
      <c r="C344" s="75">
        <v>11</v>
      </c>
      <c r="D344" s="19">
        <f t="shared" si="107"/>
        <v>347.8</v>
      </c>
      <c r="E344" s="8">
        <v>347.8</v>
      </c>
      <c r="F344" s="8"/>
      <c r="G344" s="18"/>
      <c r="H344" s="19"/>
      <c r="I344" s="8"/>
      <c r="J344" s="8"/>
      <c r="K344" s="18"/>
      <c r="L344" s="39">
        <f t="shared" si="108"/>
        <v>375</v>
      </c>
      <c r="M344" s="8">
        <v>375</v>
      </c>
      <c r="N344" s="8"/>
      <c r="O344" s="14"/>
      <c r="P344" s="145">
        <f t="shared" si="109"/>
        <v>448.6</v>
      </c>
      <c r="Q344" s="146">
        <v>448.6</v>
      </c>
      <c r="R344" s="146"/>
      <c r="S344" s="172"/>
      <c r="T344" s="179"/>
      <c r="U344" s="168"/>
      <c r="V344" s="169"/>
      <c r="W344" s="190"/>
    </row>
    <row r="345" spans="1:23" ht="12.75">
      <c r="A345" s="47" t="s">
        <v>19</v>
      </c>
      <c r="B345" s="78">
        <v>74</v>
      </c>
      <c r="C345" s="75">
        <v>13</v>
      </c>
      <c r="D345" s="19">
        <f t="shared" si="107"/>
        <v>133.4</v>
      </c>
      <c r="E345" s="8">
        <v>133.4</v>
      </c>
      <c r="F345" s="8"/>
      <c r="G345" s="18"/>
      <c r="H345" s="19"/>
      <c r="I345" s="8"/>
      <c r="J345" s="8"/>
      <c r="K345" s="18"/>
      <c r="L345" s="39">
        <f t="shared" si="108"/>
        <v>191.9</v>
      </c>
      <c r="M345" s="8">
        <v>191.9</v>
      </c>
      <c r="N345" s="8"/>
      <c r="O345" s="14"/>
      <c r="P345" s="145">
        <f t="shared" si="109"/>
        <v>178.2</v>
      </c>
      <c r="Q345" s="146">
        <v>178.2</v>
      </c>
      <c r="R345" s="146"/>
      <c r="S345" s="172"/>
      <c r="T345" s="179"/>
      <c r="U345" s="168"/>
      <c r="V345" s="169"/>
      <c r="W345" s="190"/>
    </row>
    <row r="346" spans="1:23" ht="25.5">
      <c r="A346" s="47" t="s">
        <v>27</v>
      </c>
      <c r="B346" s="78">
        <v>74</v>
      </c>
      <c r="C346" s="75">
        <v>15</v>
      </c>
      <c r="D346" s="19">
        <f t="shared" si="107"/>
        <v>0</v>
      </c>
      <c r="E346" s="8"/>
      <c r="F346" s="8"/>
      <c r="G346" s="18"/>
      <c r="H346" s="19"/>
      <c r="I346" s="8"/>
      <c r="J346" s="8"/>
      <c r="K346" s="18"/>
      <c r="L346" s="39">
        <f t="shared" si="108"/>
        <v>184.6</v>
      </c>
      <c r="M346" s="8">
        <v>184.6</v>
      </c>
      <c r="N346" s="8"/>
      <c r="O346" s="14"/>
      <c r="P346" s="145">
        <f t="shared" si="109"/>
        <v>0</v>
      </c>
      <c r="Q346" s="146">
        <v>0</v>
      </c>
      <c r="R346" s="146"/>
      <c r="S346" s="172"/>
      <c r="T346" s="179"/>
      <c r="U346" s="168"/>
      <c r="V346" s="169"/>
      <c r="W346" s="190"/>
    </row>
    <row r="347" spans="1:23" ht="25.5">
      <c r="A347" s="47" t="s">
        <v>22</v>
      </c>
      <c r="B347" s="78">
        <v>74</v>
      </c>
      <c r="C347" s="75">
        <v>19</v>
      </c>
      <c r="D347" s="19">
        <f t="shared" si="107"/>
        <v>71.9</v>
      </c>
      <c r="E347" s="8">
        <v>71.9</v>
      </c>
      <c r="F347" s="8"/>
      <c r="G347" s="18"/>
      <c r="H347" s="19"/>
      <c r="I347" s="8"/>
      <c r="J347" s="8"/>
      <c r="K347" s="18"/>
      <c r="L347" s="39">
        <f t="shared" si="108"/>
        <v>67</v>
      </c>
      <c r="M347" s="8">
        <v>67</v>
      </c>
      <c r="N347" s="8"/>
      <c r="O347" s="14"/>
      <c r="P347" s="145">
        <f t="shared" si="109"/>
        <v>94.3</v>
      </c>
      <c r="Q347" s="146">
        <v>94.3</v>
      </c>
      <c r="R347" s="146"/>
      <c r="S347" s="172"/>
      <c r="T347" s="179"/>
      <c r="U347" s="168"/>
      <c r="V347" s="169"/>
      <c r="W347" s="190"/>
    </row>
    <row r="348" spans="1:23" ht="25.5">
      <c r="A348" s="47" t="s">
        <v>23</v>
      </c>
      <c r="B348" s="78">
        <v>74</v>
      </c>
      <c r="C348" s="75">
        <v>20</v>
      </c>
      <c r="D348" s="19">
        <f t="shared" si="107"/>
        <v>2235.9</v>
      </c>
      <c r="E348" s="8">
        <f>2218.1+915.2-897.4</f>
        <v>2235.9</v>
      </c>
      <c r="F348" s="8"/>
      <c r="G348" s="18"/>
      <c r="H348" s="19"/>
      <c r="I348" s="8"/>
      <c r="J348" s="8"/>
      <c r="K348" s="18"/>
      <c r="L348" s="39">
        <f t="shared" si="108"/>
        <v>2798.8999999999996</v>
      </c>
      <c r="M348" s="8">
        <v>2761.7</v>
      </c>
      <c r="N348" s="8">
        <v>37.2</v>
      </c>
      <c r="O348" s="14"/>
      <c r="P348" s="145">
        <f t="shared" si="109"/>
        <v>2752.9</v>
      </c>
      <c r="Q348" s="146">
        <v>2752.9</v>
      </c>
      <c r="R348" s="146"/>
      <c r="S348" s="172"/>
      <c r="T348" s="182"/>
      <c r="U348" s="168"/>
      <c r="V348" s="169"/>
      <c r="W348" s="188"/>
    </row>
    <row r="349" spans="1:23" s="12" customFormat="1" ht="15">
      <c r="A349" s="45" t="s">
        <v>50</v>
      </c>
      <c r="B349" s="70">
        <v>76</v>
      </c>
      <c r="C349" s="79"/>
      <c r="D349" s="33"/>
      <c r="E349" s="11"/>
      <c r="F349" s="11"/>
      <c r="G349" s="31"/>
      <c r="H349" s="33"/>
      <c r="I349" s="11"/>
      <c r="J349" s="11"/>
      <c r="K349" s="31"/>
      <c r="L349" s="40"/>
      <c r="M349" s="11"/>
      <c r="N349" s="11"/>
      <c r="O349" s="35"/>
      <c r="P349" s="40"/>
      <c r="Q349" s="11"/>
      <c r="R349" s="11"/>
      <c r="S349" s="35"/>
      <c r="T349" s="178"/>
      <c r="U349" s="167"/>
      <c r="V349" s="163"/>
      <c r="W349" s="187"/>
    </row>
    <row r="350" spans="1:23" s="6" customFormat="1" ht="12.75">
      <c r="A350" s="46" t="s">
        <v>8</v>
      </c>
      <c r="B350" s="77">
        <v>76</v>
      </c>
      <c r="C350" s="73" t="s">
        <v>9</v>
      </c>
      <c r="D350" s="17">
        <f>SUM(D351:D361)</f>
        <v>68225.59999999999</v>
      </c>
      <c r="E350" s="5">
        <f>SUM(E351:E361)</f>
        <v>68117.29999999999</v>
      </c>
      <c r="F350" s="5">
        <f>SUM(F351:F361)</f>
        <v>108.3</v>
      </c>
      <c r="G350" s="16">
        <f>SUM(G351:G361)</f>
        <v>0</v>
      </c>
      <c r="H350" s="17">
        <f aca="true" t="shared" si="110" ref="H350:O350">SUM(H351:H361)</f>
        <v>0</v>
      </c>
      <c r="I350" s="5">
        <f t="shared" si="110"/>
        <v>0</v>
      </c>
      <c r="J350" s="5">
        <f t="shared" si="110"/>
        <v>0</v>
      </c>
      <c r="K350" s="16">
        <f t="shared" si="110"/>
        <v>0</v>
      </c>
      <c r="L350" s="38">
        <f t="shared" si="110"/>
        <v>75430.1</v>
      </c>
      <c r="M350" s="5">
        <f t="shared" si="110"/>
        <v>75302.1</v>
      </c>
      <c r="N350" s="5">
        <f t="shared" si="110"/>
        <v>128</v>
      </c>
      <c r="O350" s="13">
        <f t="shared" si="110"/>
        <v>0</v>
      </c>
      <c r="P350" s="143">
        <f>SUM(P351:P361)</f>
        <v>74550.6</v>
      </c>
      <c r="Q350" s="144">
        <f>SUM(Q351:Q361)</f>
        <v>74442.3</v>
      </c>
      <c r="R350" s="144">
        <f>SUM(R351:R361)</f>
        <v>108.3</v>
      </c>
      <c r="S350" s="171">
        <f>SUM(S351:S361)</f>
        <v>0</v>
      </c>
      <c r="T350" s="178"/>
      <c r="U350" s="167"/>
      <c r="V350" s="163"/>
      <c r="W350" s="187"/>
    </row>
    <row r="351" spans="1:23" ht="12.75">
      <c r="A351" s="47" t="s">
        <v>10</v>
      </c>
      <c r="B351" s="78">
        <v>76</v>
      </c>
      <c r="C351" s="75">
        <v>1</v>
      </c>
      <c r="D351" s="19">
        <f aca="true" t="shared" si="111" ref="D351:D361">E351+F351+G351</f>
        <v>6961</v>
      </c>
      <c r="E351" s="8">
        <v>6943.4</v>
      </c>
      <c r="F351" s="8">
        <v>17.6</v>
      </c>
      <c r="G351" s="18"/>
      <c r="H351" s="19"/>
      <c r="I351" s="8"/>
      <c r="J351" s="8"/>
      <c r="K351" s="18"/>
      <c r="L351" s="39">
        <f aca="true" t="shared" si="112" ref="L351:L361">M351+N351+O351</f>
        <v>8132.099999999999</v>
      </c>
      <c r="M351" s="8">
        <v>8126.2</v>
      </c>
      <c r="N351" s="8">
        <v>5.9</v>
      </c>
      <c r="O351" s="14"/>
      <c r="P351" s="145">
        <f aca="true" t="shared" si="113" ref="P351:P361">Q351+R351+S351</f>
        <v>8840.6</v>
      </c>
      <c r="Q351" s="146">
        <v>8823</v>
      </c>
      <c r="R351" s="146">
        <v>17.6</v>
      </c>
      <c r="S351" s="172"/>
      <c r="T351" s="179"/>
      <c r="U351" s="168"/>
      <c r="V351" s="169"/>
      <c r="W351" s="190"/>
    </row>
    <row r="352" spans="1:23" ht="12.75">
      <c r="A352" s="47" t="s">
        <v>11</v>
      </c>
      <c r="B352" s="78">
        <v>76</v>
      </c>
      <c r="C352" s="75">
        <v>3</v>
      </c>
      <c r="D352" s="19">
        <f t="shared" si="111"/>
        <v>47</v>
      </c>
      <c r="E352" s="8">
        <v>47</v>
      </c>
      <c r="F352" s="8"/>
      <c r="G352" s="18"/>
      <c r="H352" s="19"/>
      <c r="I352" s="8"/>
      <c r="J352" s="8"/>
      <c r="K352" s="18"/>
      <c r="L352" s="39">
        <f t="shared" si="112"/>
        <v>53.7</v>
      </c>
      <c r="M352" s="8">
        <v>53.7</v>
      </c>
      <c r="N352" s="8"/>
      <c r="O352" s="14"/>
      <c r="P352" s="145">
        <f t="shared" si="113"/>
        <v>53.5</v>
      </c>
      <c r="Q352" s="146">
        <v>53.5</v>
      </c>
      <c r="R352" s="146"/>
      <c r="S352" s="172"/>
      <c r="T352" s="179"/>
      <c r="U352" s="168"/>
      <c r="V352" s="169"/>
      <c r="W352" s="190"/>
    </row>
    <row r="353" spans="1:23" ht="25.5">
      <c r="A353" s="47" t="s">
        <v>12</v>
      </c>
      <c r="B353" s="78">
        <v>76</v>
      </c>
      <c r="C353" s="75">
        <v>5</v>
      </c>
      <c r="D353" s="19">
        <f t="shared" si="111"/>
        <v>2531.4</v>
      </c>
      <c r="E353" s="8">
        <v>2531.4</v>
      </c>
      <c r="F353" s="8"/>
      <c r="G353" s="18"/>
      <c r="H353" s="19"/>
      <c r="I353" s="8"/>
      <c r="J353" s="8"/>
      <c r="K353" s="18"/>
      <c r="L353" s="39">
        <f t="shared" si="112"/>
        <v>3289</v>
      </c>
      <c r="M353" s="8">
        <v>3289</v>
      </c>
      <c r="N353" s="8"/>
      <c r="O353" s="14"/>
      <c r="P353" s="145">
        <f t="shared" si="113"/>
        <v>3075.8</v>
      </c>
      <c r="Q353" s="146">
        <v>3075.8</v>
      </c>
      <c r="R353" s="146"/>
      <c r="S353" s="172"/>
      <c r="T353" s="179"/>
      <c r="U353" s="168"/>
      <c r="V353" s="169"/>
      <c r="W353" s="190"/>
    </row>
    <row r="354" spans="1:23" ht="12.75">
      <c r="A354" s="47" t="s">
        <v>13</v>
      </c>
      <c r="B354" s="78">
        <v>76</v>
      </c>
      <c r="C354" s="75">
        <v>6</v>
      </c>
      <c r="D354" s="19">
        <f t="shared" si="111"/>
        <v>51401.9</v>
      </c>
      <c r="E354" s="8">
        <f>50874.8+440.6</f>
        <v>51315.4</v>
      </c>
      <c r="F354" s="8">
        <v>86.5</v>
      </c>
      <c r="G354" s="18"/>
      <c r="H354" s="19"/>
      <c r="I354" s="8"/>
      <c r="J354" s="8"/>
      <c r="K354" s="18"/>
      <c r="L354" s="39">
        <f t="shared" si="112"/>
        <v>54747.4</v>
      </c>
      <c r="M354" s="8">
        <v>54630.5</v>
      </c>
      <c r="N354" s="8">
        <v>116.9</v>
      </c>
      <c r="O354" s="14"/>
      <c r="P354" s="145">
        <f t="shared" si="113"/>
        <v>53927.7</v>
      </c>
      <c r="Q354" s="146">
        <f>53927.7-86.5</f>
        <v>53841.2</v>
      </c>
      <c r="R354" s="146">
        <v>86.5</v>
      </c>
      <c r="S354" s="172"/>
      <c r="T354" s="179"/>
      <c r="U354" s="168"/>
      <c r="V354" s="169"/>
      <c r="W354" s="190"/>
    </row>
    <row r="355" spans="1:23" ht="25.5">
      <c r="A355" s="47" t="s">
        <v>14</v>
      </c>
      <c r="B355" s="78">
        <v>76</v>
      </c>
      <c r="C355" s="75">
        <v>8</v>
      </c>
      <c r="D355" s="19">
        <f t="shared" si="111"/>
        <v>2822.5</v>
      </c>
      <c r="E355" s="8">
        <f>2693.9+124.4</f>
        <v>2818.3</v>
      </c>
      <c r="F355" s="8">
        <v>4.2</v>
      </c>
      <c r="G355" s="18"/>
      <c r="H355" s="19"/>
      <c r="I355" s="8"/>
      <c r="J355" s="8"/>
      <c r="K355" s="18"/>
      <c r="L355" s="39">
        <f t="shared" si="112"/>
        <v>3929.7</v>
      </c>
      <c r="M355" s="8">
        <v>3924.5</v>
      </c>
      <c r="N355" s="8">
        <v>5.2</v>
      </c>
      <c r="O355" s="14"/>
      <c r="P355" s="145">
        <f t="shared" si="113"/>
        <v>3238.7</v>
      </c>
      <c r="Q355" s="146">
        <f>3238.7-4.2</f>
        <v>3234.5</v>
      </c>
      <c r="R355" s="146">
        <v>4.2</v>
      </c>
      <c r="S355" s="172"/>
      <c r="T355" s="179"/>
      <c r="U355" s="168"/>
      <c r="V355" s="169"/>
      <c r="W355" s="190"/>
    </row>
    <row r="356" spans="1:23" ht="12.75">
      <c r="A356" s="47" t="s">
        <v>16</v>
      </c>
      <c r="B356" s="78">
        <v>76</v>
      </c>
      <c r="C356" s="75">
        <v>10</v>
      </c>
      <c r="D356" s="19">
        <f t="shared" si="111"/>
        <v>2590.7999999999997</v>
      </c>
      <c r="E356" s="8">
        <f>2259.2+331.6</f>
        <v>2590.7999999999997</v>
      </c>
      <c r="F356" s="8"/>
      <c r="G356" s="18"/>
      <c r="H356" s="19"/>
      <c r="I356" s="8"/>
      <c r="J356" s="8"/>
      <c r="K356" s="18"/>
      <c r="L356" s="39">
        <f t="shared" si="112"/>
        <v>2919.6</v>
      </c>
      <c r="M356" s="8">
        <v>2919.6</v>
      </c>
      <c r="N356" s="8"/>
      <c r="O356" s="14"/>
      <c r="P356" s="145">
        <f t="shared" si="113"/>
        <v>3002.1000000000004</v>
      </c>
      <c r="Q356" s="146">
        <f>2580.8+421.3</f>
        <v>3002.1000000000004</v>
      </c>
      <c r="R356" s="146"/>
      <c r="S356" s="172"/>
      <c r="T356" s="179"/>
      <c r="U356" s="168"/>
      <c r="V356" s="169"/>
      <c r="W356" s="190"/>
    </row>
    <row r="357" spans="1:23" ht="25.5">
      <c r="A357" s="47" t="s">
        <v>17</v>
      </c>
      <c r="B357" s="78">
        <v>76</v>
      </c>
      <c r="C357" s="75">
        <v>11</v>
      </c>
      <c r="D357" s="19">
        <f t="shared" si="111"/>
        <v>231.9</v>
      </c>
      <c r="E357" s="8">
        <v>231.9</v>
      </c>
      <c r="F357" s="8"/>
      <c r="G357" s="18"/>
      <c r="H357" s="19"/>
      <c r="I357" s="8"/>
      <c r="J357" s="8"/>
      <c r="K357" s="18"/>
      <c r="L357" s="39">
        <f t="shared" si="112"/>
        <v>307.7</v>
      </c>
      <c r="M357" s="8">
        <v>307.7</v>
      </c>
      <c r="N357" s="8"/>
      <c r="O357" s="14"/>
      <c r="P357" s="145">
        <f t="shared" si="113"/>
        <v>299.1</v>
      </c>
      <c r="Q357" s="146">
        <v>299.1</v>
      </c>
      <c r="R357" s="146"/>
      <c r="S357" s="172"/>
      <c r="T357" s="179"/>
      <c r="U357" s="168"/>
      <c r="V357" s="169"/>
      <c r="W357" s="190"/>
    </row>
    <row r="358" spans="1:23" ht="12.75">
      <c r="A358" s="47" t="s">
        <v>19</v>
      </c>
      <c r="B358" s="78">
        <v>76</v>
      </c>
      <c r="C358" s="75">
        <v>13</v>
      </c>
      <c r="D358" s="19">
        <f t="shared" si="111"/>
        <v>133.4</v>
      </c>
      <c r="E358" s="8">
        <v>133.4</v>
      </c>
      <c r="F358" s="8"/>
      <c r="G358" s="18"/>
      <c r="H358" s="19"/>
      <c r="I358" s="8"/>
      <c r="J358" s="8"/>
      <c r="K358" s="18"/>
      <c r="L358" s="39">
        <f t="shared" si="112"/>
        <v>189</v>
      </c>
      <c r="M358" s="8">
        <v>189</v>
      </c>
      <c r="N358" s="8"/>
      <c r="O358" s="14"/>
      <c r="P358" s="145">
        <f t="shared" si="113"/>
        <v>178.2</v>
      </c>
      <c r="Q358" s="146">
        <v>178.2</v>
      </c>
      <c r="R358" s="146"/>
      <c r="S358" s="172"/>
      <c r="T358" s="179"/>
      <c r="U358" s="168"/>
      <c r="V358" s="169"/>
      <c r="W358" s="190"/>
    </row>
    <row r="359" spans="1:23" ht="25.5">
      <c r="A359" s="47" t="s">
        <v>27</v>
      </c>
      <c r="B359" s="78">
        <v>76</v>
      </c>
      <c r="C359" s="75">
        <v>15</v>
      </c>
      <c r="D359" s="19">
        <f t="shared" si="111"/>
        <v>0</v>
      </c>
      <c r="E359" s="8"/>
      <c r="F359" s="8"/>
      <c r="G359" s="18"/>
      <c r="H359" s="19"/>
      <c r="I359" s="8"/>
      <c r="J359" s="8"/>
      <c r="K359" s="18"/>
      <c r="L359" s="39">
        <f t="shared" si="112"/>
        <v>4.6</v>
      </c>
      <c r="M359" s="8">
        <v>4.6</v>
      </c>
      <c r="N359" s="8"/>
      <c r="O359" s="14"/>
      <c r="P359" s="145">
        <f t="shared" si="113"/>
        <v>0</v>
      </c>
      <c r="Q359" s="146">
        <v>0</v>
      </c>
      <c r="R359" s="146"/>
      <c r="S359" s="172"/>
      <c r="T359" s="179"/>
      <c r="U359" s="168"/>
      <c r="V359" s="169"/>
      <c r="W359" s="190"/>
    </row>
    <row r="360" spans="1:23" ht="25.5">
      <c r="A360" s="47" t="s">
        <v>22</v>
      </c>
      <c r="B360" s="78">
        <v>76</v>
      </c>
      <c r="C360" s="75">
        <v>19</v>
      </c>
      <c r="D360" s="19">
        <f t="shared" si="111"/>
        <v>53.9</v>
      </c>
      <c r="E360" s="8">
        <v>53.9</v>
      </c>
      <c r="F360" s="8"/>
      <c r="G360" s="18"/>
      <c r="H360" s="19"/>
      <c r="I360" s="8"/>
      <c r="J360" s="8"/>
      <c r="K360" s="18"/>
      <c r="L360" s="39">
        <f t="shared" si="112"/>
        <v>75.5</v>
      </c>
      <c r="M360" s="8">
        <v>75.5</v>
      </c>
      <c r="N360" s="8"/>
      <c r="O360" s="14"/>
      <c r="P360" s="145">
        <f t="shared" si="113"/>
        <v>70.7</v>
      </c>
      <c r="Q360" s="146">
        <v>70.7</v>
      </c>
      <c r="R360" s="146"/>
      <c r="S360" s="172"/>
      <c r="T360" s="179"/>
      <c r="U360" s="168"/>
      <c r="V360" s="169"/>
      <c r="W360" s="190"/>
    </row>
    <row r="361" spans="1:23" ht="25.5">
      <c r="A361" s="47" t="s">
        <v>23</v>
      </c>
      <c r="B361" s="78">
        <v>76</v>
      </c>
      <c r="C361" s="75">
        <v>20</v>
      </c>
      <c r="D361" s="19">
        <f t="shared" si="111"/>
        <v>1451.8000000000002</v>
      </c>
      <c r="E361" s="8">
        <f>1502+619.8-670</f>
        <v>1451.8000000000002</v>
      </c>
      <c r="F361" s="8"/>
      <c r="G361" s="18"/>
      <c r="H361" s="19"/>
      <c r="I361" s="8"/>
      <c r="J361" s="8"/>
      <c r="K361" s="18"/>
      <c r="L361" s="39">
        <f t="shared" si="112"/>
        <v>1781.8</v>
      </c>
      <c r="M361" s="8">
        <v>1781.8</v>
      </c>
      <c r="N361" s="8"/>
      <c r="O361" s="14"/>
      <c r="P361" s="145">
        <f t="shared" si="113"/>
        <v>1864.2</v>
      </c>
      <c r="Q361" s="146">
        <v>1864.2</v>
      </c>
      <c r="R361" s="146"/>
      <c r="S361" s="172"/>
      <c r="T361" s="182"/>
      <c r="U361" s="168"/>
      <c r="V361" s="169"/>
      <c r="W361" s="188"/>
    </row>
    <row r="362" spans="1:23" s="12" customFormat="1" ht="15">
      <c r="A362" s="45" t="s">
        <v>51</v>
      </c>
      <c r="B362" s="70">
        <v>79</v>
      </c>
      <c r="C362" s="79"/>
      <c r="D362" s="33"/>
      <c r="E362" s="11"/>
      <c r="F362" s="11"/>
      <c r="G362" s="31"/>
      <c r="H362" s="33"/>
      <c r="I362" s="11"/>
      <c r="J362" s="11"/>
      <c r="K362" s="31"/>
      <c r="L362" s="40"/>
      <c r="M362" s="11"/>
      <c r="N362" s="11"/>
      <c r="O362" s="35"/>
      <c r="P362" s="40"/>
      <c r="Q362" s="11"/>
      <c r="R362" s="11"/>
      <c r="S362" s="35"/>
      <c r="T362" s="178"/>
      <c r="U362" s="167"/>
      <c r="V362" s="163"/>
      <c r="W362" s="187"/>
    </row>
    <row r="363" spans="1:23" s="6" customFormat="1" ht="12.75">
      <c r="A363" s="46" t="s">
        <v>8</v>
      </c>
      <c r="B363" s="77">
        <v>79</v>
      </c>
      <c r="C363" s="73" t="s">
        <v>9</v>
      </c>
      <c r="D363" s="17">
        <f>SUM(D364:D374)</f>
        <v>86937.59999999996</v>
      </c>
      <c r="E363" s="5">
        <f>SUM(E364:E374)</f>
        <v>86392.79999999997</v>
      </c>
      <c r="F363" s="5">
        <f>SUM(F364:F374)</f>
        <v>544.8</v>
      </c>
      <c r="G363" s="16">
        <f>SUM(G364:G374)</f>
        <v>0</v>
      </c>
      <c r="H363" s="17">
        <f aca="true" t="shared" si="114" ref="H363:O363">SUM(H364:H374)</f>
        <v>0</v>
      </c>
      <c r="I363" s="5">
        <f t="shared" si="114"/>
        <v>0</v>
      </c>
      <c r="J363" s="5">
        <f t="shared" si="114"/>
        <v>0</v>
      </c>
      <c r="K363" s="16">
        <f t="shared" si="114"/>
        <v>0</v>
      </c>
      <c r="L363" s="38">
        <f t="shared" si="114"/>
        <v>94413.50000000001</v>
      </c>
      <c r="M363" s="5">
        <f t="shared" si="114"/>
        <v>94066.80000000002</v>
      </c>
      <c r="N363" s="5">
        <f t="shared" si="114"/>
        <v>346.7</v>
      </c>
      <c r="O363" s="13">
        <f t="shared" si="114"/>
        <v>0</v>
      </c>
      <c r="P363" s="143">
        <f>SUM(P364:P374)</f>
        <v>94391</v>
      </c>
      <c r="Q363" s="144">
        <f>SUM(Q364:Q374)</f>
        <v>93846.20000000001</v>
      </c>
      <c r="R363" s="144">
        <f>SUM(R364:R374)</f>
        <v>544.8</v>
      </c>
      <c r="S363" s="171">
        <f>SUM(S364:S374)</f>
        <v>0</v>
      </c>
      <c r="T363" s="178"/>
      <c r="U363" s="167"/>
      <c r="V363" s="163"/>
      <c r="W363" s="187"/>
    </row>
    <row r="364" spans="1:23" ht="12.75">
      <c r="A364" s="47" t="s">
        <v>10</v>
      </c>
      <c r="B364" s="78">
        <v>79</v>
      </c>
      <c r="C364" s="75">
        <v>1</v>
      </c>
      <c r="D364" s="19">
        <f aca="true" t="shared" si="115" ref="D364:D374">E364+F364+G364</f>
        <v>7861</v>
      </c>
      <c r="E364" s="8">
        <v>7834.6</v>
      </c>
      <c r="F364" s="8">
        <v>26.4</v>
      </c>
      <c r="G364" s="18"/>
      <c r="H364" s="19"/>
      <c r="I364" s="8"/>
      <c r="J364" s="8"/>
      <c r="K364" s="18"/>
      <c r="L364" s="39">
        <f aca="true" t="shared" si="116" ref="L364:L374">M364+N364+O364</f>
        <v>9246.300000000001</v>
      </c>
      <c r="M364" s="8">
        <v>9227.6</v>
      </c>
      <c r="N364" s="8">
        <v>18.7</v>
      </c>
      <c r="O364" s="14"/>
      <c r="P364" s="145">
        <f aca="true" t="shared" si="117" ref="P364:P374">Q364+R364+S364</f>
        <v>10034.6</v>
      </c>
      <c r="Q364" s="146">
        <v>10008.2</v>
      </c>
      <c r="R364" s="146">
        <v>26.4</v>
      </c>
      <c r="S364" s="172"/>
      <c r="T364" s="179"/>
      <c r="U364" s="168"/>
      <c r="V364" s="169"/>
      <c r="W364" s="190"/>
    </row>
    <row r="365" spans="1:23" ht="12.75">
      <c r="A365" s="47" t="s">
        <v>11</v>
      </c>
      <c r="B365" s="78">
        <v>79</v>
      </c>
      <c r="C365" s="75">
        <v>3</v>
      </c>
      <c r="D365" s="19">
        <f t="shared" si="115"/>
        <v>13.9</v>
      </c>
      <c r="E365" s="8">
        <v>13.9</v>
      </c>
      <c r="F365" s="8"/>
      <c r="G365" s="18"/>
      <c r="H365" s="19"/>
      <c r="I365" s="8"/>
      <c r="J365" s="8"/>
      <c r="K365" s="18"/>
      <c r="L365" s="39">
        <f t="shared" si="116"/>
        <v>16.3</v>
      </c>
      <c r="M365" s="8">
        <v>16.3</v>
      </c>
      <c r="N365" s="8"/>
      <c r="O365" s="14"/>
      <c r="P365" s="145">
        <f t="shared" si="117"/>
        <v>16.1</v>
      </c>
      <c r="Q365" s="146">
        <v>16.1</v>
      </c>
      <c r="R365" s="146"/>
      <c r="S365" s="172"/>
      <c r="T365" s="179"/>
      <c r="U365" s="168"/>
      <c r="V365" s="169"/>
      <c r="W365" s="190"/>
    </row>
    <row r="366" spans="1:23" ht="25.5">
      <c r="A366" s="47" t="s">
        <v>12</v>
      </c>
      <c r="B366" s="78">
        <v>79</v>
      </c>
      <c r="C366" s="75">
        <v>5</v>
      </c>
      <c r="D366" s="19">
        <f t="shared" si="115"/>
        <v>3103.7</v>
      </c>
      <c r="E366" s="8">
        <v>3103.7</v>
      </c>
      <c r="F366" s="8"/>
      <c r="G366" s="18"/>
      <c r="H366" s="19"/>
      <c r="I366" s="8"/>
      <c r="J366" s="8"/>
      <c r="K366" s="18"/>
      <c r="L366" s="39">
        <f t="shared" si="116"/>
        <v>3630.8</v>
      </c>
      <c r="M366" s="8">
        <v>3630.8</v>
      </c>
      <c r="N366" s="8"/>
      <c r="O366" s="14"/>
      <c r="P366" s="145">
        <f t="shared" si="117"/>
        <v>3730.3</v>
      </c>
      <c r="Q366" s="146">
        <v>3730.3</v>
      </c>
      <c r="R366" s="146"/>
      <c r="S366" s="172"/>
      <c r="T366" s="179"/>
      <c r="U366" s="168"/>
      <c r="V366" s="169"/>
      <c r="W366" s="190"/>
    </row>
    <row r="367" spans="1:23" ht="12.75">
      <c r="A367" s="47" t="s">
        <v>13</v>
      </c>
      <c r="B367" s="78">
        <v>79</v>
      </c>
      <c r="C367" s="75">
        <v>6</v>
      </c>
      <c r="D367" s="19">
        <f t="shared" si="115"/>
        <v>65694.2</v>
      </c>
      <c r="E367" s="8">
        <f>64735.2+440.6</f>
        <v>65175.799999999996</v>
      </c>
      <c r="F367" s="8">
        <v>518.4</v>
      </c>
      <c r="G367" s="18"/>
      <c r="H367" s="19"/>
      <c r="I367" s="8"/>
      <c r="J367" s="8"/>
      <c r="K367" s="18"/>
      <c r="L367" s="39">
        <f t="shared" si="116"/>
        <v>68560.1</v>
      </c>
      <c r="M367" s="8">
        <v>68232.1</v>
      </c>
      <c r="N367" s="8">
        <v>328</v>
      </c>
      <c r="O367" s="14"/>
      <c r="P367" s="145">
        <f t="shared" si="117"/>
        <v>68881.8</v>
      </c>
      <c r="Q367" s="146">
        <f>68881.8-518.4</f>
        <v>68363.40000000001</v>
      </c>
      <c r="R367" s="146">
        <v>518.4</v>
      </c>
      <c r="S367" s="172"/>
      <c r="T367" s="179"/>
      <c r="U367" s="168"/>
      <c r="V367" s="169"/>
      <c r="W367" s="190"/>
    </row>
    <row r="368" spans="1:23" ht="25.5">
      <c r="A368" s="47" t="s">
        <v>14</v>
      </c>
      <c r="B368" s="78">
        <v>79</v>
      </c>
      <c r="C368" s="75">
        <v>8</v>
      </c>
      <c r="D368" s="19">
        <f t="shared" si="115"/>
        <v>3684.2000000000003</v>
      </c>
      <c r="E368" s="8">
        <f>3559.8+124.4</f>
        <v>3684.2000000000003</v>
      </c>
      <c r="F368" s="8"/>
      <c r="G368" s="18"/>
      <c r="H368" s="19"/>
      <c r="I368" s="8"/>
      <c r="J368" s="8"/>
      <c r="K368" s="18"/>
      <c r="L368" s="39">
        <f t="shared" si="116"/>
        <v>5776.3</v>
      </c>
      <c r="M368" s="8">
        <v>5776.3</v>
      </c>
      <c r="N368" s="8"/>
      <c r="O368" s="14"/>
      <c r="P368" s="145">
        <f t="shared" si="117"/>
        <v>4283.6</v>
      </c>
      <c r="Q368" s="146">
        <v>4283.6</v>
      </c>
      <c r="R368" s="146"/>
      <c r="S368" s="172"/>
      <c r="T368" s="179"/>
      <c r="U368" s="168"/>
      <c r="V368" s="169"/>
      <c r="W368" s="190"/>
    </row>
    <row r="369" spans="1:23" ht="12.75">
      <c r="A369" s="47" t="s">
        <v>16</v>
      </c>
      <c r="B369" s="78">
        <v>79</v>
      </c>
      <c r="C369" s="75">
        <v>10</v>
      </c>
      <c r="D369" s="19">
        <f t="shared" si="115"/>
        <v>3973</v>
      </c>
      <c r="E369" s="8">
        <f>3641.4+331.6</f>
        <v>3973</v>
      </c>
      <c r="F369" s="8"/>
      <c r="G369" s="18"/>
      <c r="H369" s="19"/>
      <c r="I369" s="8"/>
      <c r="J369" s="8"/>
      <c r="K369" s="18"/>
      <c r="L369" s="39">
        <f t="shared" si="116"/>
        <v>4511.2</v>
      </c>
      <c r="M369" s="8">
        <v>4511.2</v>
      </c>
      <c r="N369" s="8"/>
      <c r="O369" s="14"/>
      <c r="P369" s="145">
        <f t="shared" si="117"/>
        <v>4587.2</v>
      </c>
      <c r="Q369" s="146">
        <f>4165.9+421.3</f>
        <v>4587.2</v>
      </c>
      <c r="R369" s="146"/>
      <c r="S369" s="172"/>
      <c r="T369" s="179"/>
      <c r="U369" s="168"/>
      <c r="V369" s="169"/>
      <c r="W369" s="190"/>
    </row>
    <row r="370" spans="1:23" ht="25.5">
      <c r="A370" s="47" t="s">
        <v>17</v>
      </c>
      <c r="B370" s="78">
        <v>79</v>
      </c>
      <c r="C370" s="75">
        <v>11</v>
      </c>
      <c r="D370" s="19">
        <f t="shared" si="115"/>
        <v>231.9</v>
      </c>
      <c r="E370" s="8">
        <v>231.9</v>
      </c>
      <c r="F370" s="8"/>
      <c r="G370" s="18"/>
      <c r="H370" s="19"/>
      <c r="I370" s="8"/>
      <c r="J370" s="8"/>
      <c r="K370" s="18"/>
      <c r="L370" s="39">
        <f t="shared" si="116"/>
        <v>318.1</v>
      </c>
      <c r="M370" s="8">
        <v>318.1</v>
      </c>
      <c r="N370" s="8"/>
      <c r="O370" s="14"/>
      <c r="P370" s="145">
        <f t="shared" si="117"/>
        <v>299.1</v>
      </c>
      <c r="Q370" s="146">
        <v>299.1</v>
      </c>
      <c r="R370" s="146"/>
      <c r="S370" s="172"/>
      <c r="T370" s="179"/>
      <c r="U370" s="168"/>
      <c r="V370" s="169"/>
      <c r="W370" s="190"/>
    </row>
    <row r="371" spans="1:23" ht="12.75">
      <c r="A371" s="47" t="s">
        <v>19</v>
      </c>
      <c r="B371" s="78">
        <v>79</v>
      </c>
      <c r="C371" s="75">
        <v>13</v>
      </c>
      <c r="D371" s="19">
        <f t="shared" si="115"/>
        <v>133.4</v>
      </c>
      <c r="E371" s="8">
        <v>133.4</v>
      </c>
      <c r="F371" s="8"/>
      <c r="G371" s="18"/>
      <c r="H371" s="19"/>
      <c r="I371" s="8"/>
      <c r="J371" s="8"/>
      <c r="K371" s="18"/>
      <c r="L371" s="39">
        <f t="shared" si="116"/>
        <v>190.1</v>
      </c>
      <c r="M371" s="8">
        <v>190.1</v>
      </c>
      <c r="N371" s="8"/>
      <c r="O371" s="14"/>
      <c r="P371" s="145">
        <f t="shared" si="117"/>
        <v>178.2</v>
      </c>
      <c r="Q371" s="146">
        <v>178.2</v>
      </c>
      <c r="R371" s="146"/>
      <c r="S371" s="172"/>
      <c r="T371" s="179"/>
      <c r="U371" s="168"/>
      <c r="V371" s="169"/>
      <c r="W371" s="190"/>
    </row>
    <row r="372" spans="1:23" ht="25.5">
      <c r="A372" s="47" t="s">
        <v>27</v>
      </c>
      <c r="B372" s="78">
        <v>79</v>
      </c>
      <c r="C372" s="75">
        <v>15</v>
      </c>
      <c r="D372" s="19">
        <f t="shared" si="115"/>
        <v>0</v>
      </c>
      <c r="E372" s="8"/>
      <c r="F372" s="8"/>
      <c r="G372" s="18"/>
      <c r="H372" s="19"/>
      <c r="I372" s="8"/>
      <c r="J372" s="8"/>
      <c r="K372" s="18"/>
      <c r="L372" s="39">
        <f t="shared" si="116"/>
        <v>0</v>
      </c>
      <c r="M372" s="8"/>
      <c r="N372" s="8"/>
      <c r="O372" s="14"/>
      <c r="P372" s="145">
        <f t="shared" si="117"/>
        <v>0</v>
      </c>
      <c r="Q372" s="146"/>
      <c r="R372" s="146"/>
      <c r="S372" s="172"/>
      <c r="T372" s="179"/>
      <c r="U372" s="168"/>
      <c r="V372" s="169"/>
      <c r="W372" s="190"/>
    </row>
    <row r="373" spans="1:23" ht="25.5">
      <c r="A373" s="47" t="s">
        <v>22</v>
      </c>
      <c r="B373" s="78">
        <v>79</v>
      </c>
      <c r="C373" s="75">
        <v>19</v>
      </c>
      <c r="D373" s="19">
        <f t="shared" si="115"/>
        <v>53.9</v>
      </c>
      <c r="E373" s="8">
        <v>53.9</v>
      </c>
      <c r="F373" s="8"/>
      <c r="G373" s="18"/>
      <c r="H373" s="19"/>
      <c r="I373" s="8"/>
      <c r="J373" s="8"/>
      <c r="K373" s="18"/>
      <c r="L373" s="39">
        <f t="shared" si="116"/>
        <v>102</v>
      </c>
      <c r="M373" s="8">
        <v>102</v>
      </c>
      <c r="N373" s="8"/>
      <c r="O373" s="14"/>
      <c r="P373" s="145">
        <f t="shared" si="117"/>
        <v>70.7</v>
      </c>
      <c r="Q373" s="146">
        <v>70.7</v>
      </c>
      <c r="R373" s="146"/>
      <c r="S373" s="172"/>
      <c r="T373" s="179"/>
      <c r="U373" s="168"/>
      <c r="V373" s="169"/>
      <c r="W373" s="190"/>
    </row>
    <row r="374" spans="1:23" ht="25.5">
      <c r="A374" s="47" t="s">
        <v>23</v>
      </c>
      <c r="B374" s="78">
        <v>79</v>
      </c>
      <c r="C374" s="75">
        <v>20</v>
      </c>
      <c r="D374" s="19">
        <f t="shared" si="115"/>
        <v>2188.4</v>
      </c>
      <c r="E374" s="8">
        <f>1860.8+767.8-440.2</f>
        <v>2188.4</v>
      </c>
      <c r="F374" s="8"/>
      <c r="G374" s="18"/>
      <c r="H374" s="19"/>
      <c r="I374" s="8"/>
      <c r="J374" s="8"/>
      <c r="K374" s="18"/>
      <c r="L374" s="39">
        <f t="shared" si="116"/>
        <v>2062.3</v>
      </c>
      <c r="M374" s="8">
        <v>2062.3</v>
      </c>
      <c r="N374" s="8"/>
      <c r="O374" s="14"/>
      <c r="P374" s="145">
        <f t="shared" si="117"/>
        <v>2309.4</v>
      </c>
      <c r="Q374" s="146">
        <v>2309.4</v>
      </c>
      <c r="R374" s="146"/>
      <c r="S374" s="172"/>
      <c r="T374" s="182"/>
      <c r="U374" s="168"/>
      <c r="V374" s="169"/>
      <c r="W374" s="188"/>
    </row>
    <row r="375" spans="1:23" s="12" customFormat="1" ht="15">
      <c r="A375" s="45" t="s">
        <v>52</v>
      </c>
      <c r="B375" s="70">
        <v>81</v>
      </c>
      <c r="C375" s="79"/>
      <c r="D375" s="33"/>
      <c r="E375" s="11"/>
      <c r="F375" s="11"/>
      <c r="G375" s="31"/>
      <c r="H375" s="33"/>
      <c r="I375" s="11"/>
      <c r="J375" s="11"/>
      <c r="K375" s="31"/>
      <c r="L375" s="40"/>
      <c r="M375" s="11"/>
      <c r="N375" s="11"/>
      <c r="O375" s="35"/>
      <c r="P375" s="40"/>
      <c r="Q375" s="11"/>
      <c r="R375" s="11"/>
      <c r="S375" s="35"/>
      <c r="T375" s="178"/>
      <c r="U375" s="167"/>
      <c r="V375" s="163"/>
      <c r="W375" s="187"/>
    </row>
    <row r="376" spans="1:23" s="6" customFormat="1" ht="12.75">
      <c r="A376" s="46" t="s">
        <v>8</v>
      </c>
      <c r="B376" s="77">
        <v>81</v>
      </c>
      <c r="C376" s="73" t="s">
        <v>9</v>
      </c>
      <c r="D376" s="17">
        <f>SUM(D377:D387)</f>
        <v>108835.59999999998</v>
      </c>
      <c r="E376" s="5">
        <f>SUM(E377:E387)</f>
        <v>108725.29999999999</v>
      </c>
      <c r="F376" s="5">
        <f>SUM(F377:F387)</f>
        <v>110.30000000000001</v>
      </c>
      <c r="G376" s="16">
        <f>SUM(G377:G387)</f>
        <v>0</v>
      </c>
      <c r="H376" s="17">
        <f aca="true" t="shared" si="118" ref="H376:O376">SUM(H377:H387)</f>
        <v>0</v>
      </c>
      <c r="I376" s="5">
        <f t="shared" si="118"/>
        <v>0</v>
      </c>
      <c r="J376" s="5">
        <f t="shared" si="118"/>
        <v>0</v>
      </c>
      <c r="K376" s="16">
        <f t="shared" si="118"/>
        <v>0</v>
      </c>
      <c r="L376" s="38">
        <f t="shared" si="118"/>
        <v>116516.69999999998</v>
      </c>
      <c r="M376" s="5">
        <f t="shared" si="118"/>
        <v>116314.19999999998</v>
      </c>
      <c r="N376" s="5">
        <f t="shared" si="118"/>
        <v>202.49999999999997</v>
      </c>
      <c r="O376" s="13">
        <f t="shared" si="118"/>
        <v>0</v>
      </c>
      <c r="P376" s="143">
        <f>SUM(P377:P387)</f>
        <v>117988.30000000002</v>
      </c>
      <c r="Q376" s="144">
        <f>SUM(Q377:Q387)</f>
        <v>117878.00000000001</v>
      </c>
      <c r="R376" s="144">
        <f>SUM(R377:R387)</f>
        <v>110.30000000000001</v>
      </c>
      <c r="S376" s="171">
        <f>SUM(S377:S387)</f>
        <v>0</v>
      </c>
      <c r="T376" s="178"/>
      <c r="U376" s="167"/>
      <c r="V376" s="163"/>
      <c r="W376" s="187"/>
    </row>
    <row r="377" spans="1:23" ht="12.75">
      <c r="A377" s="47" t="s">
        <v>10</v>
      </c>
      <c r="B377" s="78">
        <v>81</v>
      </c>
      <c r="C377" s="75">
        <v>1</v>
      </c>
      <c r="D377" s="19">
        <f aca="true" t="shared" si="119" ref="D377:D387">E377+F377+G377</f>
        <v>8325.800000000001</v>
      </c>
      <c r="E377" s="8">
        <v>8290.6</v>
      </c>
      <c r="F377" s="8">
        <v>35.2</v>
      </c>
      <c r="G377" s="18"/>
      <c r="H377" s="19"/>
      <c r="I377" s="8"/>
      <c r="J377" s="8"/>
      <c r="K377" s="18"/>
      <c r="L377" s="39">
        <f aca="true" t="shared" si="120" ref="L377:L387">M377+N377+O377</f>
        <v>9622.599999999999</v>
      </c>
      <c r="M377" s="8">
        <v>9577.3</v>
      </c>
      <c r="N377" s="8">
        <v>45.3</v>
      </c>
      <c r="O377" s="14"/>
      <c r="P377" s="145">
        <f aca="true" t="shared" si="121" ref="P377:P387">Q377+R377+S377</f>
        <v>10570.2</v>
      </c>
      <c r="Q377" s="146">
        <v>10535</v>
      </c>
      <c r="R377" s="146">
        <v>35.2</v>
      </c>
      <c r="S377" s="172"/>
      <c r="T377" s="179"/>
      <c r="U377" s="168"/>
      <c r="V377" s="169"/>
      <c r="W377" s="190"/>
    </row>
    <row r="378" spans="1:23" ht="12.75">
      <c r="A378" s="47" t="s">
        <v>11</v>
      </c>
      <c r="B378" s="78">
        <v>81</v>
      </c>
      <c r="C378" s="75">
        <v>3</v>
      </c>
      <c r="D378" s="19">
        <f t="shared" si="119"/>
        <v>3.5</v>
      </c>
      <c r="E378" s="8">
        <v>3.5</v>
      </c>
      <c r="F378" s="8"/>
      <c r="G378" s="18"/>
      <c r="H378" s="19"/>
      <c r="I378" s="8"/>
      <c r="J378" s="8"/>
      <c r="K378" s="18"/>
      <c r="L378" s="39">
        <f t="shared" si="120"/>
        <v>0</v>
      </c>
      <c r="M378" s="8"/>
      <c r="N378" s="8"/>
      <c r="O378" s="14"/>
      <c r="P378" s="145">
        <f t="shared" si="121"/>
        <v>0</v>
      </c>
      <c r="Q378" s="146"/>
      <c r="R378" s="146"/>
      <c r="S378" s="172"/>
      <c r="T378" s="179"/>
      <c r="U378" s="168"/>
      <c r="V378" s="169"/>
      <c r="W378" s="190"/>
    </row>
    <row r="379" spans="1:23" ht="25.5">
      <c r="A379" s="47" t="s">
        <v>12</v>
      </c>
      <c r="B379" s="78">
        <v>81</v>
      </c>
      <c r="C379" s="75">
        <v>5</v>
      </c>
      <c r="D379" s="19">
        <f t="shared" si="119"/>
        <v>2890.5</v>
      </c>
      <c r="E379" s="8">
        <v>2890.5</v>
      </c>
      <c r="F379" s="8"/>
      <c r="G379" s="18"/>
      <c r="H379" s="19"/>
      <c r="I379" s="8"/>
      <c r="J379" s="8"/>
      <c r="K379" s="18"/>
      <c r="L379" s="39">
        <f t="shared" si="120"/>
        <v>3550.8</v>
      </c>
      <c r="M379" s="8">
        <v>3550.8</v>
      </c>
      <c r="N379" s="8"/>
      <c r="O379" s="14"/>
      <c r="P379" s="145">
        <f t="shared" si="121"/>
        <v>3495.3</v>
      </c>
      <c r="Q379" s="146">
        <v>3495.3</v>
      </c>
      <c r="R379" s="146"/>
      <c r="S379" s="172"/>
      <c r="T379" s="179"/>
      <c r="U379" s="168"/>
      <c r="V379" s="169"/>
      <c r="W379" s="190"/>
    </row>
    <row r="380" spans="1:23" ht="12.75">
      <c r="A380" s="47" t="s">
        <v>13</v>
      </c>
      <c r="B380" s="78">
        <v>81</v>
      </c>
      <c r="C380" s="75">
        <v>6</v>
      </c>
      <c r="D380" s="19">
        <f t="shared" si="119"/>
        <v>86423.4</v>
      </c>
      <c r="E380" s="8">
        <f>85823.9+560.8</f>
        <v>86384.7</v>
      </c>
      <c r="F380" s="8">
        <v>38.7</v>
      </c>
      <c r="G380" s="18"/>
      <c r="H380" s="19"/>
      <c r="I380" s="8"/>
      <c r="J380" s="8"/>
      <c r="K380" s="18"/>
      <c r="L380" s="39">
        <f t="shared" si="120"/>
        <v>90178.59999999999</v>
      </c>
      <c r="M380" s="8">
        <v>90095.9</v>
      </c>
      <c r="N380" s="8">
        <v>82.7</v>
      </c>
      <c r="O380" s="14"/>
      <c r="P380" s="145">
        <f t="shared" si="121"/>
        <v>91239.1</v>
      </c>
      <c r="Q380" s="146">
        <f>91239.1-38.7</f>
        <v>91200.40000000001</v>
      </c>
      <c r="R380" s="146">
        <v>38.7</v>
      </c>
      <c r="S380" s="172"/>
      <c r="T380" s="179"/>
      <c r="U380" s="168"/>
      <c r="V380" s="169"/>
      <c r="W380" s="190"/>
    </row>
    <row r="381" spans="1:23" ht="25.5">
      <c r="A381" s="47" t="s">
        <v>14</v>
      </c>
      <c r="B381" s="78">
        <v>81</v>
      </c>
      <c r="C381" s="75">
        <v>8</v>
      </c>
      <c r="D381" s="19">
        <f t="shared" si="119"/>
        <v>4265.499999999999</v>
      </c>
      <c r="E381" s="8">
        <f>4104.7+124.4</f>
        <v>4229.099999999999</v>
      </c>
      <c r="F381" s="8">
        <v>36.4</v>
      </c>
      <c r="G381" s="18"/>
      <c r="H381" s="19"/>
      <c r="I381" s="8"/>
      <c r="J381" s="8"/>
      <c r="K381" s="18"/>
      <c r="L381" s="39">
        <f t="shared" si="120"/>
        <v>5342.099999999999</v>
      </c>
      <c r="M381" s="8">
        <v>5332.9</v>
      </c>
      <c r="N381" s="8">
        <v>9.2</v>
      </c>
      <c r="O381" s="14"/>
      <c r="P381" s="145">
        <f t="shared" si="121"/>
        <v>4966.6</v>
      </c>
      <c r="Q381" s="146">
        <f>4966.6-36.4</f>
        <v>4930.200000000001</v>
      </c>
      <c r="R381" s="146">
        <v>36.4</v>
      </c>
      <c r="S381" s="172"/>
      <c r="T381" s="179"/>
      <c r="U381" s="168"/>
      <c r="V381" s="169"/>
      <c r="W381" s="190"/>
    </row>
    <row r="382" spans="1:23" ht="12.75">
      <c r="A382" s="47" t="s">
        <v>16</v>
      </c>
      <c r="B382" s="78">
        <v>81</v>
      </c>
      <c r="C382" s="75">
        <v>10</v>
      </c>
      <c r="D382" s="19">
        <f t="shared" si="119"/>
        <v>4740.3</v>
      </c>
      <c r="E382" s="8">
        <f>4408.7+331.6</f>
        <v>4740.3</v>
      </c>
      <c r="F382" s="8"/>
      <c r="G382" s="18"/>
      <c r="H382" s="19"/>
      <c r="I382" s="8"/>
      <c r="J382" s="8"/>
      <c r="K382" s="18"/>
      <c r="L382" s="39">
        <f t="shared" si="120"/>
        <v>5432.4</v>
      </c>
      <c r="M382" s="8">
        <v>5432.4</v>
      </c>
      <c r="N382" s="8"/>
      <c r="O382" s="14"/>
      <c r="P382" s="145">
        <f t="shared" si="121"/>
        <v>5478.6</v>
      </c>
      <c r="Q382" s="146">
        <f>5057.3+421.3</f>
        <v>5478.6</v>
      </c>
      <c r="R382" s="146"/>
      <c r="S382" s="172"/>
      <c r="T382" s="179"/>
      <c r="U382" s="168"/>
      <c r="V382" s="169"/>
      <c r="W382" s="190"/>
    </row>
    <row r="383" spans="1:23" ht="25.5">
      <c r="A383" s="47" t="s">
        <v>17</v>
      </c>
      <c r="B383" s="78">
        <v>81</v>
      </c>
      <c r="C383" s="75">
        <v>11</v>
      </c>
      <c r="D383" s="19">
        <f t="shared" si="119"/>
        <v>231.9</v>
      </c>
      <c r="E383" s="8">
        <v>231.9</v>
      </c>
      <c r="F383" s="8"/>
      <c r="G383" s="18"/>
      <c r="H383" s="19"/>
      <c r="I383" s="8"/>
      <c r="J383" s="8"/>
      <c r="K383" s="18"/>
      <c r="L383" s="39">
        <f t="shared" si="120"/>
        <v>190.5</v>
      </c>
      <c r="M383" s="8">
        <v>190.5</v>
      </c>
      <c r="N383" s="8"/>
      <c r="O383" s="14"/>
      <c r="P383" s="145">
        <f t="shared" si="121"/>
        <v>299.1</v>
      </c>
      <c r="Q383" s="146">
        <v>299.1</v>
      </c>
      <c r="R383" s="146"/>
      <c r="S383" s="172"/>
      <c r="T383" s="179"/>
      <c r="U383" s="168"/>
      <c r="V383" s="169"/>
      <c r="W383" s="190"/>
    </row>
    <row r="384" spans="1:23" ht="12.75">
      <c r="A384" s="47" t="s">
        <v>19</v>
      </c>
      <c r="B384" s="78">
        <v>81</v>
      </c>
      <c r="C384" s="75">
        <v>13</v>
      </c>
      <c r="D384" s="19">
        <f t="shared" si="119"/>
        <v>133.4</v>
      </c>
      <c r="E384" s="8">
        <v>133.4</v>
      </c>
      <c r="F384" s="8"/>
      <c r="G384" s="18"/>
      <c r="H384" s="19"/>
      <c r="I384" s="8"/>
      <c r="J384" s="8"/>
      <c r="K384" s="18"/>
      <c r="L384" s="39">
        <f t="shared" si="120"/>
        <v>222.2</v>
      </c>
      <c r="M384" s="8">
        <v>222.2</v>
      </c>
      <c r="N384" s="8"/>
      <c r="O384" s="14"/>
      <c r="P384" s="145">
        <f t="shared" si="121"/>
        <v>178.2</v>
      </c>
      <c r="Q384" s="146">
        <v>178.2</v>
      </c>
      <c r="R384" s="146"/>
      <c r="S384" s="172"/>
      <c r="T384" s="179"/>
      <c r="U384" s="168"/>
      <c r="V384" s="169"/>
      <c r="W384" s="190"/>
    </row>
    <row r="385" spans="1:23" ht="25.5">
      <c r="A385" s="47" t="s">
        <v>27</v>
      </c>
      <c r="B385" s="78">
        <v>81</v>
      </c>
      <c r="C385" s="75">
        <v>15</v>
      </c>
      <c r="D385" s="19">
        <f t="shared" si="119"/>
        <v>0</v>
      </c>
      <c r="E385" s="8"/>
      <c r="F385" s="8"/>
      <c r="G385" s="18"/>
      <c r="H385" s="19"/>
      <c r="I385" s="8"/>
      <c r="J385" s="8"/>
      <c r="K385" s="18"/>
      <c r="L385" s="39">
        <f t="shared" si="120"/>
        <v>84.80000000000001</v>
      </c>
      <c r="M385" s="8">
        <v>26.6</v>
      </c>
      <c r="N385" s="8">
        <v>58.2</v>
      </c>
      <c r="O385" s="14"/>
      <c r="P385" s="145">
        <f t="shared" si="121"/>
        <v>0</v>
      </c>
      <c r="Q385" s="146">
        <v>0</v>
      </c>
      <c r="R385" s="146">
        <v>0</v>
      </c>
      <c r="S385" s="172"/>
      <c r="T385" s="179"/>
      <c r="U385" s="168"/>
      <c r="V385" s="169"/>
      <c r="W385" s="190"/>
    </row>
    <row r="386" spans="1:23" ht="25.5">
      <c r="A386" s="47" t="s">
        <v>22</v>
      </c>
      <c r="B386" s="78">
        <v>81</v>
      </c>
      <c r="C386" s="75">
        <v>19</v>
      </c>
      <c r="D386" s="19">
        <f t="shared" si="119"/>
        <v>53.9</v>
      </c>
      <c r="E386" s="8">
        <v>53.9</v>
      </c>
      <c r="F386" s="8"/>
      <c r="G386" s="18"/>
      <c r="H386" s="19"/>
      <c r="I386" s="8"/>
      <c r="J386" s="8"/>
      <c r="K386" s="18"/>
      <c r="L386" s="39">
        <f t="shared" si="120"/>
        <v>97.2</v>
      </c>
      <c r="M386" s="8">
        <v>97.2</v>
      </c>
      <c r="N386" s="8"/>
      <c r="O386" s="14"/>
      <c r="P386" s="145">
        <f t="shared" si="121"/>
        <v>70.7</v>
      </c>
      <c r="Q386" s="146">
        <v>70.7</v>
      </c>
      <c r="R386" s="146"/>
      <c r="S386" s="172"/>
      <c r="T386" s="179"/>
      <c r="U386" s="168"/>
      <c r="V386" s="169"/>
      <c r="W386" s="190"/>
    </row>
    <row r="387" spans="1:23" ht="25.5">
      <c r="A387" s="47" t="s">
        <v>23</v>
      </c>
      <c r="B387" s="78">
        <v>81</v>
      </c>
      <c r="C387" s="75">
        <v>20</v>
      </c>
      <c r="D387" s="19">
        <f t="shared" si="119"/>
        <v>1767.3999999999999</v>
      </c>
      <c r="E387" s="8">
        <f>1362.1+562-156.7</f>
        <v>1767.3999999999999</v>
      </c>
      <c r="F387" s="8"/>
      <c r="G387" s="18"/>
      <c r="H387" s="19"/>
      <c r="I387" s="8"/>
      <c r="J387" s="8"/>
      <c r="K387" s="18"/>
      <c r="L387" s="39">
        <f t="shared" si="120"/>
        <v>1795.5</v>
      </c>
      <c r="M387" s="8">
        <v>1788.4</v>
      </c>
      <c r="N387" s="8">
        <v>7.1</v>
      </c>
      <c r="O387" s="14"/>
      <c r="P387" s="145">
        <f t="shared" si="121"/>
        <v>1690.5</v>
      </c>
      <c r="Q387" s="146">
        <v>1690.5</v>
      </c>
      <c r="R387" s="146"/>
      <c r="S387" s="172"/>
      <c r="T387" s="182"/>
      <c r="U387" s="168"/>
      <c r="V387" s="169"/>
      <c r="W387" s="188"/>
    </row>
    <row r="388" spans="1:23" s="12" customFormat="1" ht="15">
      <c r="A388" s="45" t="s">
        <v>53</v>
      </c>
      <c r="B388" s="70">
        <v>84</v>
      </c>
      <c r="C388" s="79"/>
      <c r="D388" s="33"/>
      <c r="E388" s="11"/>
      <c r="F388" s="11"/>
      <c r="G388" s="31"/>
      <c r="H388" s="33"/>
      <c r="I388" s="11"/>
      <c r="J388" s="11"/>
      <c r="K388" s="31"/>
      <c r="L388" s="40"/>
      <c r="M388" s="11"/>
      <c r="N388" s="11"/>
      <c r="O388" s="35"/>
      <c r="P388" s="40"/>
      <c r="Q388" s="11"/>
      <c r="R388" s="11"/>
      <c r="S388" s="35"/>
      <c r="T388" s="178"/>
      <c r="U388" s="167"/>
      <c r="V388" s="163"/>
      <c r="W388" s="187"/>
    </row>
    <row r="389" spans="1:23" s="6" customFormat="1" ht="12.75">
      <c r="A389" s="46" t="s">
        <v>8</v>
      </c>
      <c r="B389" s="77">
        <v>84</v>
      </c>
      <c r="C389" s="73" t="s">
        <v>9</v>
      </c>
      <c r="D389" s="17">
        <f>SUM(D390:D400)</f>
        <v>114941.4</v>
      </c>
      <c r="E389" s="5">
        <f>SUM(E390:E400)</f>
        <v>114718.29999999999</v>
      </c>
      <c r="F389" s="5">
        <f>SUM(F390:F400)</f>
        <v>223.10000000000002</v>
      </c>
      <c r="G389" s="16">
        <f>SUM(G390:G400)</f>
        <v>0</v>
      </c>
      <c r="H389" s="17">
        <f aca="true" t="shared" si="122" ref="H389:O389">SUM(H390:H400)</f>
        <v>0</v>
      </c>
      <c r="I389" s="5">
        <f t="shared" si="122"/>
        <v>0</v>
      </c>
      <c r="J389" s="5">
        <f t="shared" si="122"/>
        <v>0</v>
      </c>
      <c r="K389" s="16">
        <f t="shared" si="122"/>
        <v>0</v>
      </c>
      <c r="L389" s="38">
        <f t="shared" si="122"/>
        <v>132471.19999999998</v>
      </c>
      <c r="M389" s="5">
        <f t="shared" si="122"/>
        <v>132285</v>
      </c>
      <c r="N389" s="5">
        <f t="shared" si="122"/>
        <v>186.2</v>
      </c>
      <c r="O389" s="13">
        <f t="shared" si="122"/>
        <v>0</v>
      </c>
      <c r="P389" s="143">
        <f>SUM(P390:P400)</f>
        <v>124775.99999999999</v>
      </c>
      <c r="Q389" s="144">
        <f>SUM(Q390:Q400)</f>
        <v>124552.89999999998</v>
      </c>
      <c r="R389" s="144">
        <f>SUM(R390:R400)</f>
        <v>223.10000000000002</v>
      </c>
      <c r="S389" s="171">
        <f>SUM(S390:S400)</f>
        <v>0</v>
      </c>
      <c r="T389" s="178"/>
      <c r="U389" s="167"/>
      <c r="V389" s="163"/>
      <c r="W389" s="187"/>
    </row>
    <row r="390" spans="1:23" ht="12.75">
      <c r="A390" s="47" t="s">
        <v>10</v>
      </c>
      <c r="B390" s="78">
        <v>84</v>
      </c>
      <c r="C390" s="75">
        <v>1</v>
      </c>
      <c r="D390" s="19">
        <f aca="true" t="shared" si="123" ref="D390:D400">E390+F390+G390</f>
        <v>9575.6</v>
      </c>
      <c r="E390" s="8">
        <v>9575.6</v>
      </c>
      <c r="F390" s="8"/>
      <c r="G390" s="18"/>
      <c r="H390" s="19"/>
      <c r="I390" s="8"/>
      <c r="J390" s="8"/>
      <c r="K390" s="18"/>
      <c r="L390" s="39">
        <f aca="true" t="shared" si="124" ref="L390:L400">M390+N390+O390</f>
        <v>11520.6</v>
      </c>
      <c r="M390" s="8">
        <v>11501.5</v>
      </c>
      <c r="N390" s="8">
        <v>19.1</v>
      </c>
      <c r="O390" s="14"/>
      <c r="P390" s="145">
        <f aca="true" t="shared" si="125" ref="P390:P400">Q390+R390+S390</f>
        <v>12220.5</v>
      </c>
      <c r="Q390" s="146">
        <v>12220.5</v>
      </c>
      <c r="R390" s="146"/>
      <c r="S390" s="172"/>
      <c r="T390" s="179"/>
      <c r="U390" s="168"/>
      <c r="V390" s="169"/>
      <c r="W390" s="190"/>
    </row>
    <row r="391" spans="1:23" ht="12.75">
      <c r="A391" s="47" t="s">
        <v>11</v>
      </c>
      <c r="B391" s="78">
        <v>84</v>
      </c>
      <c r="C391" s="75">
        <v>3</v>
      </c>
      <c r="D391" s="19">
        <f t="shared" si="123"/>
        <v>108.7</v>
      </c>
      <c r="E391" s="8">
        <v>108.7</v>
      </c>
      <c r="F391" s="8"/>
      <c r="G391" s="18"/>
      <c r="H391" s="19"/>
      <c r="I391" s="8"/>
      <c r="J391" s="8"/>
      <c r="K391" s="18"/>
      <c r="L391" s="39">
        <f t="shared" si="124"/>
        <v>130.6</v>
      </c>
      <c r="M391" s="8">
        <v>130.6</v>
      </c>
      <c r="N391" s="8"/>
      <c r="O391" s="14"/>
      <c r="P391" s="145">
        <f t="shared" si="125"/>
        <v>122.6</v>
      </c>
      <c r="Q391" s="146">
        <v>122.6</v>
      </c>
      <c r="R391" s="146"/>
      <c r="S391" s="172"/>
      <c r="T391" s="179"/>
      <c r="U391" s="168"/>
      <c r="V391" s="169"/>
      <c r="W391" s="190"/>
    </row>
    <row r="392" spans="1:23" ht="25.5">
      <c r="A392" s="47" t="s">
        <v>12</v>
      </c>
      <c r="B392" s="78">
        <v>84</v>
      </c>
      <c r="C392" s="75">
        <v>5</v>
      </c>
      <c r="D392" s="19">
        <f t="shared" si="123"/>
        <v>4093.5</v>
      </c>
      <c r="E392" s="8">
        <v>4093.5</v>
      </c>
      <c r="F392" s="8"/>
      <c r="G392" s="18"/>
      <c r="H392" s="19"/>
      <c r="I392" s="8"/>
      <c r="J392" s="8"/>
      <c r="K392" s="18"/>
      <c r="L392" s="39">
        <f t="shared" si="124"/>
        <v>5437.3</v>
      </c>
      <c r="M392" s="8">
        <v>5437.3</v>
      </c>
      <c r="N392" s="8"/>
      <c r="O392" s="14"/>
      <c r="P392" s="145">
        <f t="shared" si="125"/>
        <v>4980.6</v>
      </c>
      <c r="Q392" s="146">
        <v>4980.6</v>
      </c>
      <c r="R392" s="146"/>
      <c r="S392" s="172"/>
      <c r="T392" s="179"/>
      <c r="U392" s="168"/>
      <c r="V392" s="169"/>
      <c r="W392" s="190"/>
    </row>
    <row r="393" spans="1:23" ht="12.75">
      <c r="A393" s="47" t="s">
        <v>13</v>
      </c>
      <c r="B393" s="78">
        <v>84</v>
      </c>
      <c r="C393" s="75">
        <v>6</v>
      </c>
      <c r="D393" s="19">
        <f t="shared" si="123"/>
        <v>87279.3</v>
      </c>
      <c r="E393" s="8">
        <f>86638+560.8</f>
        <v>87198.8</v>
      </c>
      <c r="F393" s="8">
        <v>80.5</v>
      </c>
      <c r="G393" s="18"/>
      <c r="H393" s="19"/>
      <c r="I393" s="8"/>
      <c r="J393" s="8"/>
      <c r="K393" s="18"/>
      <c r="L393" s="39">
        <f t="shared" si="124"/>
        <v>97239.7</v>
      </c>
      <c r="M393" s="8">
        <v>97215</v>
      </c>
      <c r="N393" s="8">
        <v>24.7</v>
      </c>
      <c r="O393" s="14"/>
      <c r="P393" s="145">
        <f t="shared" si="125"/>
        <v>91871.3</v>
      </c>
      <c r="Q393" s="146">
        <f>91871.3-80.5</f>
        <v>91790.8</v>
      </c>
      <c r="R393" s="146">
        <v>80.5</v>
      </c>
      <c r="S393" s="172"/>
      <c r="T393" s="179"/>
      <c r="U393" s="168"/>
      <c r="V393" s="169"/>
      <c r="W393" s="190"/>
    </row>
    <row r="394" spans="1:23" ht="25.5">
      <c r="A394" s="47" t="s">
        <v>14</v>
      </c>
      <c r="B394" s="78">
        <v>84</v>
      </c>
      <c r="C394" s="75">
        <v>8</v>
      </c>
      <c r="D394" s="19">
        <f t="shared" si="123"/>
        <v>5492</v>
      </c>
      <c r="E394" s="8">
        <f>5269.3+124.4</f>
        <v>5393.7</v>
      </c>
      <c r="F394" s="8">
        <v>98.3</v>
      </c>
      <c r="G394" s="18"/>
      <c r="H394" s="19"/>
      <c r="I394" s="8"/>
      <c r="J394" s="8"/>
      <c r="K394" s="18"/>
      <c r="L394" s="39">
        <f t="shared" si="124"/>
        <v>8330</v>
      </c>
      <c r="M394" s="8">
        <v>8213.6</v>
      </c>
      <c r="N394" s="8">
        <v>116.4</v>
      </c>
      <c r="O394" s="14"/>
      <c r="P394" s="145">
        <f t="shared" si="125"/>
        <v>6276.3</v>
      </c>
      <c r="Q394" s="146">
        <f>6276.3-98.3</f>
        <v>6178</v>
      </c>
      <c r="R394" s="146">
        <v>98.3</v>
      </c>
      <c r="S394" s="172"/>
      <c r="T394" s="179"/>
      <c r="U394" s="168"/>
      <c r="V394" s="169"/>
      <c r="W394" s="190"/>
    </row>
    <row r="395" spans="1:23" ht="12.75">
      <c r="A395" s="47" t="s">
        <v>16</v>
      </c>
      <c r="B395" s="78">
        <v>84</v>
      </c>
      <c r="C395" s="75">
        <v>10</v>
      </c>
      <c r="D395" s="19">
        <f t="shared" si="123"/>
        <v>5505.5</v>
      </c>
      <c r="E395" s="8">
        <f>5105.7+331.6+23.9</f>
        <v>5461.2</v>
      </c>
      <c r="F395" s="8">
        <v>44.3</v>
      </c>
      <c r="G395" s="18"/>
      <c r="H395" s="19"/>
      <c r="I395" s="8"/>
      <c r="J395" s="8"/>
      <c r="K395" s="18"/>
      <c r="L395" s="39">
        <f t="shared" si="124"/>
        <v>6271.7</v>
      </c>
      <c r="M395" s="8">
        <v>6271.7</v>
      </c>
      <c r="N395" s="8"/>
      <c r="O395" s="14"/>
      <c r="P395" s="145">
        <f t="shared" si="125"/>
        <v>6403.700000000001</v>
      </c>
      <c r="Q395" s="146">
        <f>5938.1+421.3</f>
        <v>6359.400000000001</v>
      </c>
      <c r="R395" s="146">
        <v>44.3</v>
      </c>
      <c r="S395" s="172"/>
      <c r="T395" s="179"/>
      <c r="U395" s="168"/>
      <c r="V395" s="169"/>
      <c r="W395" s="190"/>
    </row>
    <row r="396" spans="1:23" ht="25.5">
      <c r="A396" s="47" t="s">
        <v>17</v>
      </c>
      <c r="B396" s="78">
        <v>84</v>
      </c>
      <c r="C396" s="75">
        <v>11</v>
      </c>
      <c r="D396" s="19">
        <f t="shared" si="123"/>
        <v>270.5</v>
      </c>
      <c r="E396" s="8">
        <v>270.5</v>
      </c>
      <c r="F396" s="8"/>
      <c r="G396" s="18"/>
      <c r="H396" s="19"/>
      <c r="I396" s="8"/>
      <c r="J396" s="8"/>
      <c r="K396" s="18"/>
      <c r="L396" s="39">
        <f t="shared" si="124"/>
        <v>394.4</v>
      </c>
      <c r="M396" s="8">
        <v>394.4</v>
      </c>
      <c r="N396" s="8"/>
      <c r="O396" s="14"/>
      <c r="P396" s="145">
        <f t="shared" si="125"/>
        <v>348.9</v>
      </c>
      <c r="Q396" s="146">
        <v>348.9</v>
      </c>
      <c r="R396" s="146"/>
      <c r="S396" s="172"/>
      <c r="T396" s="179"/>
      <c r="U396" s="168"/>
      <c r="V396" s="169"/>
      <c r="W396" s="190"/>
    </row>
    <row r="397" spans="1:23" ht="12.75">
      <c r="A397" s="47" t="s">
        <v>19</v>
      </c>
      <c r="B397" s="78" t="s">
        <v>54</v>
      </c>
      <c r="C397" s="75" t="s">
        <v>55</v>
      </c>
      <c r="D397" s="19">
        <f t="shared" si="123"/>
        <v>133.4</v>
      </c>
      <c r="E397" s="8">
        <v>133.4</v>
      </c>
      <c r="F397" s="8"/>
      <c r="G397" s="18"/>
      <c r="H397" s="19"/>
      <c r="I397" s="8"/>
      <c r="J397" s="8"/>
      <c r="K397" s="18"/>
      <c r="L397" s="39">
        <f t="shared" si="124"/>
        <v>157.7</v>
      </c>
      <c r="M397" s="8">
        <v>157.7</v>
      </c>
      <c r="N397" s="8"/>
      <c r="O397" s="14"/>
      <c r="P397" s="145">
        <f t="shared" si="125"/>
        <v>178.2</v>
      </c>
      <c r="Q397" s="146">
        <v>178.2</v>
      </c>
      <c r="R397" s="146"/>
      <c r="S397" s="172"/>
      <c r="T397" s="179"/>
      <c r="U397" s="168"/>
      <c r="V397" s="169"/>
      <c r="W397" s="190"/>
    </row>
    <row r="398" spans="1:23" ht="25.5">
      <c r="A398" s="47" t="s">
        <v>27</v>
      </c>
      <c r="B398" s="78">
        <v>84</v>
      </c>
      <c r="C398" s="75">
        <v>15</v>
      </c>
      <c r="D398" s="19">
        <f t="shared" si="123"/>
        <v>211.2</v>
      </c>
      <c r="E398" s="8">
        <v>211.2</v>
      </c>
      <c r="F398" s="8"/>
      <c r="G398" s="18"/>
      <c r="H398" s="19"/>
      <c r="I398" s="8"/>
      <c r="J398" s="8"/>
      <c r="K398" s="18"/>
      <c r="L398" s="39">
        <f t="shared" si="124"/>
        <v>218.2</v>
      </c>
      <c r="M398" s="8">
        <v>218.2</v>
      </c>
      <c r="N398" s="8"/>
      <c r="O398" s="14"/>
      <c r="P398" s="145">
        <f t="shared" si="125"/>
        <v>396.5</v>
      </c>
      <c r="Q398" s="146">
        <v>396.5</v>
      </c>
      <c r="R398" s="146"/>
      <c r="S398" s="172"/>
      <c r="T398" s="179"/>
      <c r="U398" s="168"/>
      <c r="V398" s="169"/>
      <c r="W398" s="190"/>
    </row>
    <row r="399" spans="1:23" ht="25.5">
      <c r="A399" s="47" t="s">
        <v>22</v>
      </c>
      <c r="B399" s="78" t="s">
        <v>54</v>
      </c>
      <c r="C399" s="75" t="s">
        <v>56</v>
      </c>
      <c r="D399" s="19">
        <f t="shared" si="123"/>
        <v>53.9</v>
      </c>
      <c r="E399" s="8">
        <v>53.9</v>
      </c>
      <c r="F399" s="8"/>
      <c r="G399" s="18"/>
      <c r="H399" s="19"/>
      <c r="I399" s="8"/>
      <c r="J399" s="8"/>
      <c r="K399" s="18"/>
      <c r="L399" s="39">
        <f t="shared" si="124"/>
        <v>107.1</v>
      </c>
      <c r="M399" s="8">
        <v>107.1</v>
      </c>
      <c r="N399" s="8"/>
      <c r="O399" s="14"/>
      <c r="P399" s="145">
        <f t="shared" si="125"/>
        <v>70.7</v>
      </c>
      <c r="Q399" s="146">
        <v>70.7</v>
      </c>
      <c r="R399" s="146"/>
      <c r="S399" s="172"/>
      <c r="T399" s="179"/>
      <c r="U399" s="168"/>
      <c r="V399" s="169"/>
      <c r="W399" s="190"/>
    </row>
    <row r="400" spans="1:23" ht="25.5">
      <c r="A400" s="47" t="s">
        <v>23</v>
      </c>
      <c r="B400" s="78">
        <v>84</v>
      </c>
      <c r="C400" s="75">
        <v>20</v>
      </c>
      <c r="D400" s="19">
        <f t="shared" si="123"/>
        <v>2217.7999999999997</v>
      </c>
      <c r="E400" s="8">
        <f>1536.3+633.9+47.6</f>
        <v>2217.7999999999997</v>
      </c>
      <c r="F400" s="8"/>
      <c r="G400" s="18"/>
      <c r="H400" s="19"/>
      <c r="I400" s="8"/>
      <c r="J400" s="8"/>
      <c r="K400" s="18"/>
      <c r="L400" s="39">
        <f t="shared" si="124"/>
        <v>2663.9</v>
      </c>
      <c r="M400" s="8">
        <v>2637.9</v>
      </c>
      <c r="N400" s="8">
        <v>26</v>
      </c>
      <c r="O400" s="14"/>
      <c r="P400" s="145">
        <f t="shared" si="125"/>
        <v>1906.7</v>
      </c>
      <c r="Q400" s="146">
        <v>1906.7</v>
      </c>
      <c r="R400" s="146"/>
      <c r="S400" s="172"/>
      <c r="T400" s="182"/>
      <c r="U400" s="168"/>
      <c r="V400" s="169"/>
      <c r="W400" s="188"/>
    </row>
    <row r="401" spans="1:23" s="12" customFormat="1" ht="15">
      <c r="A401" s="45" t="s">
        <v>57</v>
      </c>
      <c r="B401" s="70">
        <v>86</v>
      </c>
      <c r="C401" s="79"/>
      <c r="D401" s="33"/>
      <c r="E401" s="11"/>
      <c r="F401" s="11"/>
      <c r="G401" s="31"/>
      <c r="H401" s="33"/>
      <c r="I401" s="11"/>
      <c r="J401" s="11"/>
      <c r="K401" s="31"/>
      <c r="L401" s="40"/>
      <c r="M401" s="11"/>
      <c r="N401" s="11"/>
      <c r="O401" s="35"/>
      <c r="P401" s="40"/>
      <c r="Q401" s="11"/>
      <c r="R401" s="11"/>
      <c r="S401" s="35"/>
      <c r="T401" s="178"/>
      <c r="U401" s="167"/>
      <c r="V401" s="163"/>
      <c r="W401" s="187"/>
    </row>
    <row r="402" spans="1:23" s="6" customFormat="1" ht="12.75">
      <c r="A402" s="46" t="s">
        <v>8</v>
      </c>
      <c r="B402" s="77">
        <v>86</v>
      </c>
      <c r="C402" s="73" t="s">
        <v>9</v>
      </c>
      <c r="D402" s="17">
        <f>SUM(D403:D413)</f>
        <v>109466.29999999999</v>
      </c>
      <c r="E402" s="5">
        <f>SUM(E403:E413)</f>
        <v>108729.79999999999</v>
      </c>
      <c r="F402" s="5">
        <f>SUM(F403:F413)</f>
        <v>736.5</v>
      </c>
      <c r="G402" s="16">
        <f>SUM(G403:G413)</f>
        <v>0</v>
      </c>
      <c r="H402" s="17">
        <f aca="true" t="shared" si="126" ref="H402:O402">SUM(H403:H413)</f>
        <v>0</v>
      </c>
      <c r="I402" s="5">
        <f t="shared" si="126"/>
        <v>0</v>
      </c>
      <c r="J402" s="5">
        <f t="shared" si="126"/>
        <v>0</v>
      </c>
      <c r="K402" s="16">
        <f t="shared" si="126"/>
        <v>0</v>
      </c>
      <c r="L402" s="38">
        <f t="shared" si="126"/>
        <v>122361.79999999999</v>
      </c>
      <c r="M402" s="5">
        <f t="shared" si="126"/>
        <v>121281.8</v>
      </c>
      <c r="N402" s="5">
        <f t="shared" si="126"/>
        <v>1080</v>
      </c>
      <c r="O402" s="13">
        <f t="shared" si="126"/>
        <v>0</v>
      </c>
      <c r="P402" s="143">
        <f>SUM(P403:P413)</f>
        <v>119081.40000000001</v>
      </c>
      <c r="Q402" s="144">
        <f>SUM(Q403:Q413)</f>
        <v>118344.90000000001</v>
      </c>
      <c r="R402" s="144">
        <f>SUM(R403:R413)</f>
        <v>736.5</v>
      </c>
      <c r="S402" s="171">
        <f>SUM(S403:S413)</f>
        <v>0</v>
      </c>
      <c r="T402" s="178"/>
      <c r="U402" s="167"/>
      <c r="V402" s="163"/>
      <c r="W402" s="187"/>
    </row>
    <row r="403" spans="1:23" ht="12.75">
      <c r="A403" s="47" t="s">
        <v>10</v>
      </c>
      <c r="B403" s="78">
        <v>86</v>
      </c>
      <c r="C403" s="75">
        <v>1</v>
      </c>
      <c r="D403" s="19">
        <f aca="true" t="shared" si="127" ref="D403:D413">E403+F403+G403</f>
        <v>8311.3</v>
      </c>
      <c r="E403" s="8">
        <v>8311.3</v>
      </c>
      <c r="F403" s="8"/>
      <c r="G403" s="18"/>
      <c r="H403" s="19"/>
      <c r="I403" s="8"/>
      <c r="J403" s="8"/>
      <c r="K403" s="18"/>
      <c r="L403" s="39">
        <f aca="true" t="shared" si="128" ref="L403:L413">M403+N403+O403</f>
        <v>9548.699999999999</v>
      </c>
      <c r="M403" s="8">
        <v>9415.3</v>
      </c>
      <c r="N403" s="8">
        <v>133.4</v>
      </c>
      <c r="O403" s="14"/>
      <c r="P403" s="145">
        <f aca="true" t="shared" si="129" ref="P403:P413">Q403+R403+S403</f>
        <v>10587.6</v>
      </c>
      <c r="Q403" s="146">
        <v>10587.6</v>
      </c>
      <c r="R403" s="146"/>
      <c r="S403" s="172"/>
      <c r="T403" s="179"/>
      <c r="U403" s="168"/>
      <c r="V403" s="169"/>
      <c r="W403" s="190"/>
    </row>
    <row r="404" spans="1:23" ht="12.75">
      <c r="A404" s="47" t="s">
        <v>11</v>
      </c>
      <c r="B404" s="78">
        <v>86</v>
      </c>
      <c r="C404" s="75">
        <v>3</v>
      </c>
      <c r="D404" s="19">
        <f t="shared" si="127"/>
        <v>84.8</v>
      </c>
      <c r="E404" s="8">
        <v>84.8</v>
      </c>
      <c r="F404" s="8"/>
      <c r="G404" s="18"/>
      <c r="H404" s="19"/>
      <c r="I404" s="8"/>
      <c r="J404" s="8"/>
      <c r="K404" s="18"/>
      <c r="L404" s="39">
        <f t="shared" si="128"/>
        <v>96.4</v>
      </c>
      <c r="M404" s="8">
        <v>96.4</v>
      </c>
      <c r="N404" s="8"/>
      <c r="O404" s="14"/>
      <c r="P404" s="145">
        <f t="shared" si="129"/>
        <v>101.8</v>
      </c>
      <c r="Q404" s="146">
        <v>101.8</v>
      </c>
      <c r="R404" s="146"/>
      <c r="S404" s="172"/>
      <c r="T404" s="179"/>
      <c r="U404" s="168"/>
      <c r="V404" s="169"/>
      <c r="W404" s="190"/>
    </row>
    <row r="405" spans="1:23" ht="25.5">
      <c r="A405" s="47" t="s">
        <v>12</v>
      </c>
      <c r="B405" s="78">
        <v>86</v>
      </c>
      <c r="C405" s="75">
        <v>5</v>
      </c>
      <c r="D405" s="19">
        <f t="shared" si="127"/>
        <v>4209.6</v>
      </c>
      <c r="E405" s="8">
        <v>4209.6</v>
      </c>
      <c r="F405" s="8"/>
      <c r="G405" s="18"/>
      <c r="H405" s="19"/>
      <c r="I405" s="8"/>
      <c r="J405" s="8"/>
      <c r="K405" s="18"/>
      <c r="L405" s="39">
        <f t="shared" si="128"/>
        <v>5334.5</v>
      </c>
      <c r="M405" s="8">
        <v>5334.5</v>
      </c>
      <c r="N405" s="8"/>
      <c r="O405" s="14"/>
      <c r="P405" s="145">
        <f t="shared" si="129"/>
        <v>5052.9</v>
      </c>
      <c r="Q405" s="146">
        <v>5052.9</v>
      </c>
      <c r="R405" s="146"/>
      <c r="S405" s="172"/>
      <c r="T405" s="179"/>
      <c r="U405" s="168"/>
      <c r="V405" s="169"/>
      <c r="W405" s="190"/>
    </row>
    <row r="406" spans="1:23" ht="12.75">
      <c r="A406" s="47" t="s">
        <v>13</v>
      </c>
      <c r="B406" s="78">
        <v>86</v>
      </c>
      <c r="C406" s="75">
        <v>6</v>
      </c>
      <c r="D406" s="19">
        <f t="shared" si="127"/>
        <v>87140.20000000001</v>
      </c>
      <c r="E406" s="8">
        <f>85958.8+560.8</f>
        <v>86519.6</v>
      </c>
      <c r="F406" s="8">
        <v>620.6</v>
      </c>
      <c r="G406" s="18"/>
      <c r="H406" s="19"/>
      <c r="I406" s="8"/>
      <c r="J406" s="8"/>
      <c r="K406" s="18"/>
      <c r="L406" s="39">
        <f t="shared" si="128"/>
        <v>94243.7</v>
      </c>
      <c r="M406" s="8">
        <v>93640.2</v>
      </c>
      <c r="N406" s="8">
        <v>603.5</v>
      </c>
      <c r="O406" s="14"/>
      <c r="P406" s="145">
        <f t="shared" si="129"/>
        <v>91837.5</v>
      </c>
      <c r="Q406" s="146">
        <f>91837.5-620.6</f>
        <v>91216.9</v>
      </c>
      <c r="R406" s="146">
        <v>620.6</v>
      </c>
      <c r="S406" s="172"/>
      <c r="T406" s="179"/>
      <c r="U406" s="168"/>
      <c r="V406" s="169"/>
      <c r="W406" s="190"/>
    </row>
    <row r="407" spans="1:23" ht="25.5">
      <c r="A407" s="47" t="s">
        <v>14</v>
      </c>
      <c r="B407" s="78">
        <v>86</v>
      </c>
      <c r="C407" s="75">
        <v>8</v>
      </c>
      <c r="D407" s="19">
        <f t="shared" si="127"/>
        <v>4408.9</v>
      </c>
      <c r="E407" s="8">
        <f>4225.4+124.4</f>
        <v>4349.799999999999</v>
      </c>
      <c r="F407" s="8">
        <v>59.1</v>
      </c>
      <c r="G407" s="18"/>
      <c r="H407" s="19"/>
      <c r="I407" s="8"/>
      <c r="J407" s="8"/>
      <c r="K407" s="18"/>
      <c r="L407" s="39">
        <f t="shared" si="128"/>
        <v>6802.8</v>
      </c>
      <c r="M407" s="8">
        <v>6700.1</v>
      </c>
      <c r="N407" s="8">
        <v>102.7</v>
      </c>
      <c r="O407" s="14"/>
      <c r="P407" s="145">
        <f t="shared" si="129"/>
        <v>5117.2</v>
      </c>
      <c r="Q407" s="146">
        <f>5117.2-59.1</f>
        <v>5058.099999999999</v>
      </c>
      <c r="R407" s="146">
        <v>59.1</v>
      </c>
      <c r="S407" s="172"/>
      <c r="T407" s="179"/>
      <c r="U407" s="168"/>
      <c r="V407" s="169"/>
      <c r="W407" s="190"/>
    </row>
    <row r="408" spans="1:23" ht="12.75">
      <c r="A408" s="47" t="s">
        <v>16</v>
      </c>
      <c r="B408" s="78">
        <v>86</v>
      </c>
      <c r="C408" s="75">
        <v>10</v>
      </c>
      <c r="D408" s="19">
        <f t="shared" si="127"/>
        <v>3150.6</v>
      </c>
      <c r="E408" s="8">
        <f>2762.2+331.6</f>
        <v>3093.7999999999997</v>
      </c>
      <c r="F408" s="8">
        <v>56.8</v>
      </c>
      <c r="G408" s="18"/>
      <c r="H408" s="19"/>
      <c r="I408" s="8"/>
      <c r="J408" s="8"/>
      <c r="K408" s="18"/>
      <c r="L408" s="39">
        <f t="shared" si="128"/>
        <v>3421.4</v>
      </c>
      <c r="M408" s="8">
        <v>3352.3</v>
      </c>
      <c r="N408" s="8">
        <v>69.1</v>
      </c>
      <c r="O408" s="14"/>
      <c r="P408" s="145">
        <f t="shared" si="129"/>
        <v>3674.8</v>
      </c>
      <c r="Q408" s="146">
        <f>3196.7+421.3</f>
        <v>3618</v>
      </c>
      <c r="R408" s="146">
        <v>56.8</v>
      </c>
      <c r="S408" s="172"/>
      <c r="T408" s="179"/>
      <c r="U408" s="168"/>
      <c r="V408" s="169"/>
      <c r="W408" s="190"/>
    </row>
    <row r="409" spans="1:23" ht="25.5">
      <c r="A409" s="47" t="s">
        <v>17</v>
      </c>
      <c r="B409" s="78">
        <v>86</v>
      </c>
      <c r="C409" s="75">
        <v>11</v>
      </c>
      <c r="D409" s="19">
        <f t="shared" si="127"/>
        <v>231.9</v>
      </c>
      <c r="E409" s="8">
        <v>231.9</v>
      </c>
      <c r="F409" s="8"/>
      <c r="G409" s="18"/>
      <c r="H409" s="19"/>
      <c r="I409" s="8"/>
      <c r="J409" s="8"/>
      <c r="K409" s="18"/>
      <c r="L409" s="39">
        <f t="shared" si="128"/>
        <v>551.8</v>
      </c>
      <c r="M409" s="8">
        <v>551.8</v>
      </c>
      <c r="N409" s="8"/>
      <c r="O409" s="14"/>
      <c r="P409" s="145">
        <f t="shared" si="129"/>
        <v>299.1</v>
      </c>
      <c r="Q409" s="146">
        <v>299.1</v>
      </c>
      <c r="R409" s="146"/>
      <c r="S409" s="172"/>
      <c r="T409" s="179"/>
      <c r="U409" s="168"/>
      <c r="V409" s="169"/>
      <c r="W409" s="190"/>
    </row>
    <row r="410" spans="1:23" ht="12.75">
      <c r="A410" s="47" t="s">
        <v>19</v>
      </c>
      <c r="B410" s="78" t="s">
        <v>58</v>
      </c>
      <c r="C410" s="75" t="s">
        <v>55</v>
      </c>
      <c r="D410" s="19">
        <f t="shared" si="127"/>
        <v>133.4</v>
      </c>
      <c r="E410" s="8">
        <v>133.4</v>
      </c>
      <c r="F410" s="8"/>
      <c r="G410" s="18"/>
      <c r="H410" s="19"/>
      <c r="I410" s="8"/>
      <c r="J410" s="8"/>
      <c r="K410" s="18"/>
      <c r="L410" s="39">
        <f t="shared" si="128"/>
        <v>0</v>
      </c>
      <c r="M410" s="8"/>
      <c r="N410" s="8"/>
      <c r="O410" s="14"/>
      <c r="P410" s="145">
        <f t="shared" si="129"/>
        <v>178.2</v>
      </c>
      <c r="Q410" s="146">
        <v>178.2</v>
      </c>
      <c r="R410" s="146"/>
      <c r="S410" s="172"/>
      <c r="T410" s="179"/>
      <c r="U410" s="168"/>
      <c r="V410" s="169"/>
      <c r="W410" s="190"/>
    </row>
    <row r="411" spans="1:23" ht="25.5">
      <c r="A411" s="47" t="s">
        <v>27</v>
      </c>
      <c r="B411" s="78">
        <v>86</v>
      </c>
      <c r="C411" s="75">
        <v>15</v>
      </c>
      <c r="D411" s="19">
        <f t="shared" si="127"/>
        <v>0</v>
      </c>
      <c r="E411" s="8"/>
      <c r="F411" s="8"/>
      <c r="G411" s="18"/>
      <c r="H411" s="19"/>
      <c r="I411" s="8"/>
      <c r="J411" s="8"/>
      <c r="K411" s="18"/>
      <c r="L411" s="39">
        <f t="shared" si="128"/>
        <v>171.3</v>
      </c>
      <c r="M411" s="8"/>
      <c r="N411" s="8">
        <v>171.3</v>
      </c>
      <c r="O411" s="14"/>
      <c r="P411" s="145">
        <f t="shared" si="129"/>
        <v>0</v>
      </c>
      <c r="Q411" s="146"/>
      <c r="R411" s="146">
        <v>0</v>
      </c>
      <c r="S411" s="172"/>
      <c r="T411" s="179"/>
      <c r="U411" s="168"/>
      <c r="V411" s="169"/>
      <c r="W411" s="190"/>
    </row>
    <row r="412" spans="1:23" ht="25.5">
      <c r="A412" s="47" t="s">
        <v>22</v>
      </c>
      <c r="B412" s="78" t="s">
        <v>58</v>
      </c>
      <c r="C412" s="75" t="s">
        <v>56</v>
      </c>
      <c r="D412" s="19">
        <f t="shared" si="127"/>
        <v>53.9</v>
      </c>
      <c r="E412" s="8">
        <v>53.9</v>
      </c>
      <c r="F412" s="8"/>
      <c r="G412" s="18"/>
      <c r="H412" s="19"/>
      <c r="I412" s="8"/>
      <c r="J412" s="8"/>
      <c r="K412" s="18"/>
      <c r="L412" s="39">
        <f t="shared" si="128"/>
        <v>76.8</v>
      </c>
      <c r="M412" s="8">
        <v>76.8</v>
      </c>
      <c r="N412" s="8"/>
      <c r="O412" s="14"/>
      <c r="P412" s="145">
        <f t="shared" si="129"/>
        <v>70.7</v>
      </c>
      <c r="Q412" s="146">
        <v>70.7</v>
      </c>
      <c r="R412" s="146"/>
      <c r="S412" s="172"/>
      <c r="T412" s="179"/>
      <c r="U412" s="168"/>
      <c r="V412" s="169"/>
      <c r="W412" s="190"/>
    </row>
    <row r="413" spans="1:23" ht="25.5">
      <c r="A413" s="47" t="s">
        <v>23</v>
      </c>
      <c r="B413" s="78">
        <v>86</v>
      </c>
      <c r="C413" s="75">
        <v>20</v>
      </c>
      <c r="D413" s="19">
        <f t="shared" si="127"/>
        <v>1741.7</v>
      </c>
      <c r="E413" s="8">
        <f>1741.7+718.7-718.7</f>
        <v>1741.7</v>
      </c>
      <c r="F413" s="8"/>
      <c r="G413" s="18"/>
      <c r="H413" s="19"/>
      <c r="I413" s="8"/>
      <c r="J413" s="8"/>
      <c r="K413" s="18"/>
      <c r="L413" s="39">
        <f t="shared" si="128"/>
        <v>2114.4</v>
      </c>
      <c r="M413" s="8">
        <v>2114.4</v>
      </c>
      <c r="N413" s="8"/>
      <c r="O413" s="14"/>
      <c r="P413" s="145">
        <f t="shared" si="129"/>
        <v>2161.6</v>
      </c>
      <c r="Q413" s="146">
        <v>2161.6</v>
      </c>
      <c r="R413" s="146"/>
      <c r="S413" s="172"/>
      <c r="T413" s="182"/>
      <c r="U413" s="168"/>
      <c r="V413" s="169"/>
      <c r="W413" s="188"/>
    </row>
    <row r="414" spans="1:23" s="12" customFormat="1" ht="15">
      <c r="A414" s="45" t="s">
        <v>59</v>
      </c>
      <c r="B414" s="70">
        <v>88</v>
      </c>
      <c r="C414" s="79"/>
      <c r="D414" s="33"/>
      <c r="E414" s="11"/>
      <c r="F414" s="11"/>
      <c r="G414" s="31"/>
      <c r="H414" s="33"/>
      <c r="I414" s="11"/>
      <c r="J414" s="11"/>
      <c r="K414" s="31"/>
      <c r="L414" s="40"/>
      <c r="M414" s="11"/>
      <c r="N414" s="11"/>
      <c r="O414" s="35"/>
      <c r="P414" s="40"/>
      <c r="Q414" s="11"/>
      <c r="R414" s="11"/>
      <c r="S414" s="35"/>
      <c r="T414" s="178"/>
      <c r="U414" s="167"/>
      <c r="V414" s="163"/>
      <c r="W414" s="187"/>
    </row>
    <row r="415" spans="1:23" s="6" customFormat="1" ht="12.75">
      <c r="A415" s="46" t="s">
        <v>8</v>
      </c>
      <c r="B415" s="77">
        <v>88</v>
      </c>
      <c r="C415" s="73" t="s">
        <v>9</v>
      </c>
      <c r="D415" s="17">
        <f>SUM(D416:D425)</f>
        <v>59629.700000000004</v>
      </c>
      <c r="E415" s="5">
        <f>SUM(E416:E425)</f>
        <v>59583.100000000006</v>
      </c>
      <c r="F415" s="5">
        <f>SUM(F416:F425)</f>
        <v>46.6</v>
      </c>
      <c r="G415" s="16">
        <f>SUM(G416:G425)</f>
        <v>0</v>
      </c>
      <c r="H415" s="17">
        <f aca="true" t="shared" si="130" ref="H415:O415">SUM(H416:H425)</f>
        <v>0</v>
      </c>
      <c r="I415" s="5">
        <f t="shared" si="130"/>
        <v>0</v>
      </c>
      <c r="J415" s="5">
        <f t="shared" si="130"/>
        <v>0</v>
      </c>
      <c r="K415" s="16">
        <f t="shared" si="130"/>
        <v>0</v>
      </c>
      <c r="L415" s="38">
        <f t="shared" si="130"/>
        <v>67448.49999999999</v>
      </c>
      <c r="M415" s="5">
        <f t="shared" si="130"/>
        <v>67448.49999999999</v>
      </c>
      <c r="N415" s="5">
        <f t="shared" si="130"/>
        <v>0</v>
      </c>
      <c r="O415" s="13">
        <f t="shared" si="130"/>
        <v>0</v>
      </c>
      <c r="P415" s="143">
        <f>SUM(P416:P425)</f>
        <v>65337.3</v>
      </c>
      <c r="Q415" s="144">
        <f>SUM(Q416:Q425)</f>
        <v>65290.700000000004</v>
      </c>
      <c r="R415" s="144">
        <f>SUM(R416:R425)</f>
        <v>46.6</v>
      </c>
      <c r="S415" s="171">
        <f>SUM(S416:S425)</f>
        <v>0</v>
      </c>
      <c r="T415" s="178"/>
      <c r="U415" s="167"/>
      <c r="V415" s="163"/>
      <c r="W415" s="187"/>
    </row>
    <row r="416" spans="1:23" ht="12.75">
      <c r="A416" s="47" t="s">
        <v>10</v>
      </c>
      <c r="B416" s="78">
        <v>88</v>
      </c>
      <c r="C416" s="75">
        <v>1</v>
      </c>
      <c r="D416" s="19">
        <f aca="true" t="shared" si="131" ref="D416:D425">E416+F416+G416</f>
        <v>6176.5</v>
      </c>
      <c r="E416" s="8">
        <v>6176.5</v>
      </c>
      <c r="F416" s="8"/>
      <c r="G416" s="18"/>
      <c r="H416" s="19"/>
      <c r="I416" s="8"/>
      <c r="J416" s="8"/>
      <c r="K416" s="18"/>
      <c r="L416" s="39">
        <f aca="true" t="shared" si="132" ref="L416:L425">M416+N416+O416</f>
        <v>7282.9</v>
      </c>
      <c r="M416" s="8">
        <v>7282.9</v>
      </c>
      <c r="N416" s="8"/>
      <c r="O416" s="14"/>
      <c r="P416" s="145">
        <f aca="true" t="shared" si="133" ref="P416:P425">Q416+R416+S416</f>
        <v>7901.2</v>
      </c>
      <c r="Q416" s="146">
        <v>7901.2</v>
      </c>
      <c r="R416" s="146"/>
      <c r="S416" s="172"/>
      <c r="T416" s="179"/>
      <c r="U416" s="168"/>
      <c r="V416" s="169"/>
      <c r="W416" s="190"/>
    </row>
    <row r="417" spans="1:23" ht="12.75">
      <c r="A417" s="47" t="s">
        <v>11</v>
      </c>
      <c r="B417" s="78">
        <v>88</v>
      </c>
      <c r="C417" s="75">
        <v>3</v>
      </c>
      <c r="D417" s="19">
        <f t="shared" si="131"/>
        <v>56.1</v>
      </c>
      <c r="E417" s="8">
        <v>56.1</v>
      </c>
      <c r="F417" s="8"/>
      <c r="G417" s="18"/>
      <c r="H417" s="19"/>
      <c r="I417" s="8"/>
      <c r="J417" s="8"/>
      <c r="K417" s="18"/>
      <c r="L417" s="39">
        <f t="shared" si="132"/>
        <v>57.2</v>
      </c>
      <c r="M417" s="8">
        <v>57.2</v>
      </c>
      <c r="N417" s="8"/>
      <c r="O417" s="14"/>
      <c r="P417" s="145">
        <f t="shared" si="133"/>
        <v>64.7</v>
      </c>
      <c r="Q417" s="146">
        <v>64.7</v>
      </c>
      <c r="R417" s="146"/>
      <c r="S417" s="172"/>
      <c r="T417" s="179"/>
      <c r="U417" s="168"/>
      <c r="V417" s="169"/>
      <c r="W417" s="190"/>
    </row>
    <row r="418" spans="1:23" s="1" customFormat="1" ht="25.5">
      <c r="A418" s="47" t="s">
        <v>12</v>
      </c>
      <c r="B418" s="78">
        <v>88</v>
      </c>
      <c r="C418" s="75">
        <v>5</v>
      </c>
      <c r="D418" s="19">
        <f t="shared" si="131"/>
        <v>1925.7</v>
      </c>
      <c r="E418" s="8">
        <v>1925.7</v>
      </c>
      <c r="F418" s="8"/>
      <c r="G418" s="18"/>
      <c r="H418" s="19"/>
      <c r="I418" s="8"/>
      <c r="J418" s="8"/>
      <c r="K418" s="18"/>
      <c r="L418" s="39">
        <f t="shared" si="132"/>
        <v>2630</v>
      </c>
      <c r="M418" s="8">
        <v>2630</v>
      </c>
      <c r="N418" s="8"/>
      <c r="O418" s="14"/>
      <c r="P418" s="145">
        <f t="shared" si="133"/>
        <v>2350.1</v>
      </c>
      <c r="Q418" s="146">
        <v>2350.1</v>
      </c>
      <c r="R418" s="146"/>
      <c r="S418" s="172"/>
      <c r="T418" s="179"/>
      <c r="U418" s="168"/>
      <c r="V418" s="169"/>
      <c r="W418" s="190"/>
    </row>
    <row r="419" spans="1:23" ht="12.75">
      <c r="A419" s="47" t="s">
        <v>13</v>
      </c>
      <c r="B419" s="78">
        <v>88</v>
      </c>
      <c r="C419" s="75">
        <v>6</v>
      </c>
      <c r="D419" s="19">
        <f t="shared" si="131"/>
        <v>43989.6</v>
      </c>
      <c r="E419" s="8">
        <f>43503.3+440.6</f>
        <v>43943.9</v>
      </c>
      <c r="F419" s="8">
        <v>45.7</v>
      </c>
      <c r="G419" s="18"/>
      <c r="H419" s="19"/>
      <c r="I419" s="8"/>
      <c r="J419" s="8"/>
      <c r="K419" s="18"/>
      <c r="L419" s="39">
        <f t="shared" si="132"/>
        <v>48602.2</v>
      </c>
      <c r="M419" s="8">
        <v>48602.2</v>
      </c>
      <c r="N419" s="8"/>
      <c r="O419" s="14"/>
      <c r="P419" s="145">
        <f t="shared" si="133"/>
        <v>46223.5</v>
      </c>
      <c r="Q419" s="146">
        <f>46223.5-45.7</f>
        <v>46177.8</v>
      </c>
      <c r="R419" s="146">
        <v>45.7</v>
      </c>
      <c r="S419" s="172"/>
      <c r="T419" s="179"/>
      <c r="U419" s="168"/>
      <c r="V419" s="169"/>
      <c r="W419" s="190"/>
    </row>
    <row r="420" spans="1:23" s="1" customFormat="1" ht="25.5">
      <c r="A420" s="47" t="s">
        <v>14</v>
      </c>
      <c r="B420" s="78">
        <v>88</v>
      </c>
      <c r="C420" s="75">
        <v>8</v>
      </c>
      <c r="D420" s="19">
        <f t="shared" si="131"/>
        <v>2526</v>
      </c>
      <c r="E420" s="8">
        <f>2400.7+124.4</f>
        <v>2525.1</v>
      </c>
      <c r="F420" s="8">
        <v>0.9</v>
      </c>
      <c r="G420" s="18"/>
      <c r="H420" s="19"/>
      <c r="I420" s="8"/>
      <c r="J420" s="8"/>
      <c r="K420" s="18"/>
      <c r="L420" s="39">
        <f t="shared" si="132"/>
        <v>3263.5</v>
      </c>
      <c r="M420" s="8">
        <v>3263.5</v>
      </c>
      <c r="N420" s="8"/>
      <c r="O420" s="14"/>
      <c r="P420" s="145">
        <f t="shared" si="133"/>
        <v>2878</v>
      </c>
      <c r="Q420" s="146">
        <f>2878-0.9</f>
        <v>2877.1</v>
      </c>
      <c r="R420" s="146">
        <v>0.9</v>
      </c>
      <c r="S420" s="172"/>
      <c r="T420" s="179"/>
      <c r="U420" s="168"/>
      <c r="V420" s="169"/>
      <c r="W420" s="190"/>
    </row>
    <row r="421" spans="1:23" s="1" customFormat="1" ht="12.75">
      <c r="A421" s="47" t="s">
        <v>16</v>
      </c>
      <c r="B421" s="78">
        <v>88</v>
      </c>
      <c r="C421" s="75">
        <v>10</v>
      </c>
      <c r="D421" s="19">
        <f t="shared" si="131"/>
        <v>2955.2</v>
      </c>
      <c r="E421" s="8">
        <f>2665+290.2</f>
        <v>2955.2</v>
      </c>
      <c r="F421" s="8"/>
      <c r="G421" s="18"/>
      <c r="H421" s="19"/>
      <c r="I421" s="8"/>
      <c r="J421" s="8"/>
      <c r="K421" s="18"/>
      <c r="L421" s="39">
        <f t="shared" si="132"/>
        <v>3503.9</v>
      </c>
      <c r="M421" s="8">
        <v>3503.9</v>
      </c>
      <c r="N421" s="8"/>
      <c r="O421" s="14"/>
      <c r="P421" s="145">
        <f t="shared" si="133"/>
        <v>3411.9</v>
      </c>
      <c r="Q421" s="146">
        <f>3043.3+368.6</f>
        <v>3411.9</v>
      </c>
      <c r="R421" s="146"/>
      <c r="S421" s="172"/>
      <c r="T421" s="179"/>
      <c r="U421" s="168"/>
      <c r="V421" s="169"/>
      <c r="W421" s="190"/>
    </row>
    <row r="422" spans="1:23" s="1" customFormat="1" ht="25.5">
      <c r="A422" s="47" t="s">
        <v>17</v>
      </c>
      <c r="B422" s="78">
        <v>88</v>
      </c>
      <c r="C422" s="75">
        <v>11</v>
      </c>
      <c r="D422" s="19">
        <f t="shared" si="131"/>
        <v>270.5</v>
      </c>
      <c r="E422" s="8">
        <v>270.5</v>
      </c>
      <c r="F422" s="8"/>
      <c r="G422" s="18"/>
      <c r="H422" s="19"/>
      <c r="I422" s="8"/>
      <c r="J422" s="8"/>
      <c r="K422" s="18"/>
      <c r="L422" s="39">
        <f t="shared" si="132"/>
        <v>291.1</v>
      </c>
      <c r="M422" s="8">
        <v>291.1</v>
      </c>
      <c r="N422" s="8"/>
      <c r="O422" s="14"/>
      <c r="P422" s="145">
        <f t="shared" si="133"/>
        <v>348.9</v>
      </c>
      <c r="Q422" s="146">
        <v>348.9</v>
      </c>
      <c r="R422" s="146"/>
      <c r="S422" s="172"/>
      <c r="T422" s="179"/>
      <c r="U422" s="168"/>
      <c r="V422" s="169"/>
      <c r="W422" s="190"/>
    </row>
    <row r="423" spans="1:23" s="1" customFormat="1" ht="12.75">
      <c r="A423" s="47" t="s">
        <v>19</v>
      </c>
      <c r="B423" s="78">
        <v>88</v>
      </c>
      <c r="C423" s="75">
        <v>13</v>
      </c>
      <c r="D423" s="19">
        <f t="shared" si="131"/>
        <v>83.4</v>
      </c>
      <c r="E423" s="8">
        <v>83.4</v>
      </c>
      <c r="F423" s="8"/>
      <c r="G423" s="18"/>
      <c r="H423" s="19"/>
      <c r="I423" s="8"/>
      <c r="J423" s="8"/>
      <c r="K423" s="18"/>
      <c r="L423" s="39">
        <f t="shared" si="132"/>
        <v>121.4</v>
      </c>
      <c r="M423" s="8">
        <v>121.4</v>
      </c>
      <c r="N423" s="8"/>
      <c r="O423" s="14"/>
      <c r="P423" s="145">
        <f t="shared" si="133"/>
        <v>111.4</v>
      </c>
      <c r="Q423" s="146">
        <v>111.4</v>
      </c>
      <c r="R423" s="146"/>
      <c r="S423" s="172"/>
      <c r="T423" s="179"/>
      <c r="U423" s="168"/>
      <c r="V423" s="169"/>
      <c r="W423" s="190"/>
    </row>
    <row r="424" spans="1:23" s="1" customFormat="1" ht="25.5">
      <c r="A424" s="47" t="s">
        <v>22</v>
      </c>
      <c r="B424" s="78">
        <v>88</v>
      </c>
      <c r="C424" s="75">
        <v>19</v>
      </c>
      <c r="D424" s="19">
        <f t="shared" si="131"/>
        <v>53.9</v>
      </c>
      <c r="E424" s="8">
        <v>53.9</v>
      </c>
      <c r="F424" s="8"/>
      <c r="G424" s="18"/>
      <c r="H424" s="19"/>
      <c r="I424" s="8"/>
      <c r="J424" s="8"/>
      <c r="K424" s="18"/>
      <c r="L424" s="39">
        <f t="shared" si="132"/>
        <v>74.4</v>
      </c>
      <c r="M424" s="8">
        <v>74.4</v>
      </c>
      <c r="N424" s="8"/>
      <c r="O424" s="14"/>
      <c r="P424" s="145">
        <f t="shared" si="133"/>
        <v>70.7</v>
      </c>
      <c r="Q424" s="146">
        <v>70.7</v>
      </c>
      <c r="R424" s="146"/>
      <c r="S424" s="172"/>
      <c r="T424" s="179"/>
      <c r="U424" s="168"/>
      <c r="V424" s="169"/>
      <c r="W424" s="190"/>
    </row>
    <row r="425" spans="1:23" ht="25.5">
      <c r="A425" s="47" t="s">
        <v>23</v>
      </c>
      <c r="B425" s="78">
        <v>88</v>
      </c>
      <c r="C425" s="75">
        <v>20</v>
      </c>
      <c r="D425" s="19">
        <f t="shared" si="131"/>
        <v>1592.8</v>
      </c>
      <c r="E425" s="8">
        <f>1592.8+657.2-657.2</f>
        <v>1592.8</v>
      </c>
      <c r="F425" s="8"/>
      <c r="G425" s="18"/>
      <c r="H425" s="19"/>
      <c r="I425" s="8"/>
      <c r="J425" s="8"/>
      <c r="K425" s="18"/>
      <c r="L425" s="39">
        <f t="shared" si="132"/>
        <v>1621.9</v>
      </c>
      <c r="M425" s="8">
        <v>1621.9</v>
      </c>
      <c r="N425" s="8"/>
      <c r="O425" s="14"/>
      <c r="P425" s="145">
        <f t="shared" si="133"/>
        <v>1976.9</v>
      </c>
      <c r="Q425" s="146">
        <v>1976.9</v>
      </c>
      <c r="R425" s="146"/>
      <c r="S425" s="172"/>
      <c r="T425" s="182"/>
      <c r="U425" s="168"/>
      <c r="V425" s="169"/>
      <c r="W425" s="188"/>
    </row>
    <row r="426" spans="1:23" s="12" customFormat="1" ht="15">
      <c r="A426" s="106" t="s">
        <v>60</v>
      </c>
      <c r="B426" s="107">
        <v>89</v>
      </c>
      <c r="C426" s="108"/>
      <c r="D426" s="112"/>
      <c r="E426" s="110"/>
      <c r="F426" s="110"/>
      <c r="G426" s="111"/>
      <c r="H426" s="112"/>
      <c r="I426" s="110"/>
      <c r="J426" s="110"/>
      <c r="K426" s="111"/>
      <c r="L426" s="109"/>
      <c r="M426" s="110"/>
      <c r="N426" s="110"/>
      <c r="O426" s="113"/>
      <c r="P426" s="109"/>
      <c r="Q426" s="110"/>
      <c r="R426" s="110"/>
      <c r="S426" s="113"/>
      <c r="T426" s="178"/>
      <c r="U426" s="167"/>
      <c r="V426" s="163"/>
      <c r="W426" s="187"/>
    </row>
    <row r="427" spans="1:23" s="6" customFormat="1" ht="12.75">
      <c r="A427" s="114" t="s">
        <v>8</v>
      </c>
      <c r="B427" s="115">
        <v>89</v>
      </c>
      <c r="C427" s="116" t="s">
        <v>9</v>
      </c>
      <c r="D427" s="89">
        <f>SUM(D428:D438)</f>
        <v>101748.89999999998</v>
      </c>
      <c r="E427" s="90">
        <f>SUM(E428:E438)</f>
        <v>101558.89999999998</v>
      </c>
      <c r="F427" s="90">
        <f>SUM(F428:F438)</f>
        <v>190</v>
      </c>
      <c r="G427" s="92">
        <f>SUM(G428:G438)</f>
        <v>0</v>
      </c>
      <c r="H427" s="89">
        <f aca="true" t="shared" si="134" ref="H427:O427">SUM(H428:H438)</f>
        <v>0</v>
      </c>
      <c r="I427" s="90">
        <f t="shared" si="134"/>
        <v>0</v>
      </c>
      <c r="J427" s="90">
        <f t="shared" si="134"/>
        <v>0</v>
      </c>
      <c r="K427" s="92">
        <f t="shared" si="134"/>
        <v>0</v>
      </c>
      <c r="L427" s="117">
        <f t="shared" si="134"/>
        <v>109854.7</v>
      </c>
      <c r="M427" s="90">
        <f t="shared" si="134"/>
        <v>109784.00000000001</v>
      </c>
      <c r="N427" s="90">
        <f t="shared" si="134"/>
        <v>70.69999999999999</v>
      </c>
      <c r="O427" s="91">
        <f t="shared" si="134"/>
        <v>0</v>
      </c>
      <c r="P427" s="133">
        <f>SUM(P428:P438)</f>
        <v>109290.7</v>
      </c>
      <c r="Q427" s="134">
        <f>SUM(Q428:Q438)</f>
        <v>109100.7</v>
      </c>
      <c r="R427" s="134">
        <f>SUM(R428:R438)</f>
        <v>190</v>
      </c>
      <c r="S427" s="135">
        <f>SUM(S428:S438)</f>
        <v>0</v>
      </c>
      <c r="T427" s="178"/>
      <c r="U427" s="167"/>
      <c r="V427" s="163"/>
      <c r="W427" s="187"/>
    </row>
    <row r="428" spans="1:23" s="1" customFormat="1" ht="12.75">
      <c r="A428" s="47" t="s">
        <v>10</v>
      </c>
      <c r="B428" s="78">
        <v>89</v>
      </c>
      <c r="C428" s="75">
        <v>1</v>
      </c>
      <c r="D428" s="19">
        <f aca="true" t="shared" si="135" ref="D428:D438">E428+F428+G428</f>
        <v>7026.3</v>
      </c>
      <c r="E428" s="8">
        <v>7026.3</v>
      </c>
      <c r="F428" s="8"/>
      <c r="G428" s="18"/>
      <c r="H428" s="19"/>
      <c r="I428" s="8"/>
      <c r="J428" s="8"/>
      <c r="K428" s="18"/>
      <c r="L428" s="39">
        <f aca="true" t="shared" si="136" ref="L428:L438">M428+N428+O428</f>
        <v>8161.4</v>
      </c>
      <c r="M428" s="8">
        <v>8161.4</v>
      </c>
      <c r="N428" s="8"/>
      <c r="O428" s="14"/>
      <c r="P428" s="145">
        <f aca="true" t="shared" si="137" ref="P428:P438">Q428+R428+S428</f>
        <v>8823</v>
      </c>
      <c r="Q428" s="146">
        <v>8823</v>
      </c>
      <c r="R428" s="146"/>
      <c r="S428" s="172"/>
      <c r="T428" s="179"/>
      <c r="U428" s="168"/>
      <c r="V428" s="169"/>
      <c r="W428" s="190"/>
    </row>
    <row r="429" spans="1:23" s="1" customFormat="1" ht="12.75">
      <c r="A429" s="47" t="s">
        <v>11</v>
      </c>
      <c r="B429" s="78">
        <v>89</v>
      </c>
      <c r="C429" s="75">
        <v>3</v>
      </c>
      <c r="D429" s="19">
        <f t="shared" si="135"/>
        <v>35.2</v>
      </c>
      <c r="E429" s="8">
        <v>35.2</v>
      </c>
      <c r="F429" s="8"/>
      <c r="G429" s="18"/>
      <c r="H429" s="19"/>
      <c r="I429" s="8"/>
      <c r="J429" s="8"/>
      <c r="K429" s="18"/>
      <c r="L429" s="39">
        <f t="shared" si="136"/>
        <v>70.8</v>
      </c>
      <c r="M429" s="8">
        <v>70.8</v>
      </c>
      <c r="N429" s="8"/>
      <c r="O429" s="14"/>
      <c r="P429" s="145">
        <f t="shared" si="137"/>
        <v>41.7</v>
      </c>
      <c r="Q429" s="146">
        <v>41.7</v>
      </c>
      <c r="R429" s="146"/>
      <c r="S429" s="172"/>
      <c r="T429" s="179"/>
      <c r="U429" s="168"/>
      <c r="V429" s="169"/>
      <c r="W429" s="190"/>
    </row>
    <row r="430" spans="1:23" s="1" customFormat="1" ht="25.5">
      <c r="A430" s="47" t="s">
        <v>12</v>
      </c>
      <c r="B430" s="78">
        <v>89</v>
      </c>
      <c r="C430" s="75">
        <v>5</v>
      </c>
      <c r="D430" s="19">
        <f t="shared" si="135"/>
        <v>2852</v>
      </c>
      <c r="E430" s="8">
        <v>2852</v>
      </c>
      <c r="F430" s="8">
        <v>0</v>
      </c>
      <c r="G430" s="18"/>
      <c r="H430" s="19"/>
      <c r="I430" s="8"/>
      <c r="J430" s="8"/>
      <c r="K430" s="18"/>
      <c r="L430" s="39">
        <f t="shared" si="136"/>
        <v>3419.7</v>
      </c>
      <c r="M430" s="8">
        <v>3419.7</v>
      </c>
      <c r="N430" s="8"/>
      <c r="O430" s="14"/>
      <c r="P430" s="145">
        <f t="shared" si="137"/>
        <v>3442.3</v>
      </c>
      <c r="Q430" s="146">
        <v>3442.3</v>
      </c>
      <c r="R430" s="146"/>
      <c r="S430" s="172"/>
      <c r="T430" s="179"/>
      <c r="U430" s="168"/>
      <c r="V430" s="169"/>
      <c r="W430" s="190"/>
    </row>
    <row r="431" spans="1:23" s="1" customFormat="1" ht="12.75">
      <c r="A431" s="47" t="s">
        <v>13</v>
      </c>
      <c r="B431" s="78">
        <v>89</v>
      </c>
      <c r="C431" s="75">
        <v>6</v>
      </c>
      <c r="D431" s="19">
        <f t="shared" si="135"/>
        <v>81704.6</v>
      </c>
      <c r="E431" s="8">
        <f>81130.8+440.6</f>
        <v>81571.40000000001</v>
      </c>
      <c r="F431" s="8">
        <v>133.2</v>
      </c>
      <c r="G431" s="18"/>
      <c r="H431" s="19"/>
      <c r="I431" s="8"/>
      <c r="J431" s="8"/>
      <c r="K431" s="18"/>
      <c r="L431" s="39">
        <f t="shared" si="136"/>
        <v>84834.8</v>
      </c>
      <c r="M431" s="8">
        <v>84823.1</v>
      </c>
      <c r="N431" s="8">
        <v>11.7</v>
      </c>
      <c r="O431" s="14"/>
      <c r="P431" s="145">
        <f t="shared" si="137"/>
        <v>85658.5</v>
      </c>
      <c r="Q431" s="146">
        <f>85658.5-133.2</f>
        <v>85525.3</v>
      </c>
      <c r="R431" s="146">
        <v>133.2</v>
      </c>
      <c r="S431" s="172"/>
      <c r="T431" s="179"/>
      <c r="U431" s="168"/>
      <c r="V431" s="169"/>
      <c r="W431" s="190"/>
    </row>
    <row r="432" spans="1:23" s="1" customFormat="1" ht="25.5">
      <c r="A432" s="47" t="s">
        <v>14</v>
      </c>
      <c r="B432" s="78">
        <v>89</v>
      </c>
      <c r="C432" s="75">
        <v>8</v>
      </c>
      <c r="D432" s="19">
        <f t="shared" si="135"/>
        <v>3690.2000000000003</v>
      </c>
      <c r="E432" s="8">
        <f>3509+124.4</f>
        <v>3633.4</v>
      </c>
      <c r="F432" s="8">
        <v>56.8</v>
      </c>
      <c r="G432" s="18"/>
      <c r="H432" s="19"/>
      <c r="I432" s="8"/>
      <c r="J432" s="8"/>
      <c r="K432" s="18"/>
      <c r="L432" s="39">
        <f t="shared" si="136"/>
        <v>5925.8</v>
      </c>
      <c r="M432" s="8">
        <v>5925.8</v>
      </c>
      <c r="N432" s="8"/>
      <c r="O432" s="14"/>
      <c r="P432" s="145">
        <f t="shared" si="137"/>
        <v>4281.3</v>
      </c>
      <c r="Q432" s="146">
        <f>4281.3-56.8</f>
        <v>4224.5</v>
      </c>
      <c r="R432" s="146">
        <v>56.8</v>
      </c>
      <c r="S432" s="172"/>
      <c r="T432" s="179"/>
      <c r="U432" s="168"/>
      <c r="V432" s="169"/>
      <c r="W432" s="190"/>
    </row>
    <row r="433" spans="1:23" s="1" customFormat="1" ht="12.75">
      <c r="A433" s="47" t="s">
        <v>16</v>
      </c>
      <c r="B433" s="78">
        <v>89</v>
      </c>
      <c r="C433" s="75">
        <v>10</v>
      </c>
      <c r="D433" s="19">
        <f t="shared" si="135"/>
        <v>3774</v>
      </c>
      <c r="E433" s="8">
        <f>3442.4+331.6</f>
        <v>3774</v>
      </c>
      <c r="F433" s="8"/>
      <c r="G433" s="18"/>
      <c r="H433" s="19"/>
      <c r="I433" s="8"/>
      <c r="J433" s="8"/>
      <c r="K433" s="18"/>
      <c r="L433" s="39">
        <f t="shared" si="136"/>
        <v>4406.6</v>
      </c>
      <c r="M433" s="8">
        <v>4406.6</v>
      </c>
      <c r="N433" s="8"/>
      <c r="O433" s="14"/>
      <c r="P433" s="145">
        <f t="shared" si="137"/>
        <v>4352.7</v>
      </c>
      <c r="Q433" s="146">
        <f>3931.4+421.3</f>
        <v>4352.7</v>
      </c>
      <c r="R433" s="146"/>
      <c r="S433" s="172"/>
      <c r="T433" s="179"/>
      <c r="U433" s="168"/>
      <c r="V433" s="169"/>
      <c r="W433" s="190"/>
    </row>
    <row r="434" spans="1:23" s="1" customFormat="1" ht="25.5">
      <c r="A434" s="47" t="s">
        <v>17</v>
      </c>
      <c r="B434" s="78">
        <v>89</v>
      </c>
      <c r="C434" s="75">
        <v>11</v>
      </c>
      <c r="D434" s="19">
        <f t="shared" si="135"/>
        <v>231.9</v>
      </c>
      <c r="E434" s="8">
        <v>231.9</v>
      </c>
      <c r="F434" s="8"/>
      <c r="G434" s="18"/>
      <c r="H434" s="19"/>
      <c r="I434" s="8"/>
      <c r="J434" s="8"/>
      <c r="K434" s="18"/>
      <c r="L434" s="39">
        <f t="shared" si="136"/>
        <v>328</v>
      </c>
      <c r="M434" s="8">
        <v>318.8</v>
      </c>
      <c r="N434" s="8">
        <v>9.2</v>
      </c>
      <c r="O434" s="14"/>
      <c r="P434" s="145">
        <f t="shared" si="137"/>
        <v>299.1</v>
      </c>
      <c r="Q434" s="146">
        <v>299.1</v>
      </c>
      <c r="R434" s="146"/>
      <c r="S434" s="172"/>
      <c r="T434" s="179"/>
      <c r="U434" s="168"/>
      <c r="V434" s="169"/>
      <c r="W434" s="190"/>
    </row>
    <row r="435" spans="1:23" s="1" customFormat="1" ht="12.75">
      <c r="A435" s="47" t="s">
        <v>19</v>
      </c>
      <c r="B435" s="78">
        <v>89</v>
      </c>
      <c r="C435" s="75">
        <v>13</v>
      </c>
      <c r="D435" s="19">
        <f t="shared" si="135"/>
        <v>133.4</v>
      </c>
      <c r="E435" s="8">
        <v>133.4</v>
      </c>
      <c r="F435" s="8"/>
      <c r="G435" s="18"/>
      <c r="H435" s="19"/>
      <c r="I435" s="8"/>
      <c r="J435" s="8"/>
      <c r="K435" s="18"/>
      <c r="L435" s="39">
        <f t="shared" si="136"/>
        <v>223.9</v>
      </c>
      <c r="M435" s="8">
        <v>223.9</v>
      </c>
      <c r="N435" s="8"/>
      <c r="O435" s="14"/>
      <c r="P435" s="145">
        <f t="shared" si="137"/>
        <v>178.2</v>
      </c>
      <c r="Q435" s="146">
        <v>178.2</v>
      </c>
      <c r="R435" s="146"/>
      <c r="S435" s="172"/>
      <c r="T435" s="179"/>
      <c r="U435" s="168"/>
      <c r="V435" s="169"/>
      <c r="W435" s="190"/>
    </row>
    <row r="436" spans="1:23" ht="25.5">
      <c r="A436" s="118" t="s">
        <v>27</v>
      </c>
      <c r="B436" s="119">
        <v>89</v>
      </c>
      <c r="C436" s="120">
        <v>15</v>
      </c>
      <c r="D436" s="93">
        <f t="shared" si="135"/>
        <v>0</v>
      </c>
      <c r="E436" s="94"/>
      <c r="F436" s="94"/>
      <c r="G436" s="96"/>
      <c r="H436" s="93"/>
      <c r="I436" s="94"/>
      <c r="J436" s="94"/>
      <c r="K436" s="96"/>
      <c r="L436" s="121">
        <f t="shared" si="136"/>
        <v>0</v>
      </c>
      <c r="M436" s="94"/>
      <c r="N436" s="94"/>
      <c r="O436" s="95"/>
      <c r="P436" s="136">
        <f t="shared" si="137"/>
        <v>0</v>
      </c>
      <c r="Q436" s="137"/>
      <c r="R436" s="137"/>
      <c r="S436" s="138"/>
      <c r="T436" s="179"/>
      <c r="U436" s="168"/>
      <c r="V436" s="169"/>
      <c r="W436" s="190"/>
    </row>
    <row r="437" spans="1:23" s="1" customFormat="1" ht="25.5">
      <c r="A437" s="47" t="s">
        <v>22</v>
      </c>
      <c r="B437" s="78">
        <v>89</v>
      </c>
      <c r="C437" s="75">
        <v>19</v>
      </c>
      <c r="D437" s="19">
        <f t="shared" si="135"/>
        <v>53.9</v>
      </c>
      <c r="E437" s="8">
        <v>53.9</v>
      </c>
      <c r="F437" s="8"/>
      <c r="G437" s="18"/>
      <c r="H437" s="19"/>
      <c r="I437" s="8"/>
      <c r="J437" s="8"/>
      <c r="K437" s="18"/>
      <c r="L437" s="39">
        <f t="shared" si="136"/>
        <v>92.3</v>
      </c>
      <c r="M437" s="8">
        <v>92.3</v>
      </c>
      <c r="N437" s="8"/>
      <c r="O437" s="14"/>
      <c r="P437" s="145">
        <f t="shared" si="137"/>
        <v>70.7</v>
      </c>
      <c r="Q437" s="146">
        <v>70.7</v>
      </c>
      <c r="R437" s="146"/>
      <c r="S437" s="172"/>
      <c r="T437" s="179"/>
      <c r="U437" s="168"/>
      <c r="V437" s="169"/>
      <c r="W437" s="190"/>
    </row>
    <row r="438" spans="1:23" ht="25.5">
      <c r="A438" s="118" t="s">
        <v>23</v>
      </c>
      <c r="B438" s="119">
        <v>89</v>
      </c>
      <c r="C438" s="120">
        <v>20</v>
      </c>
      <c r="D438" s="93">
        <f t="shared" si="135"/>
        <v>2247.4</v>
      </c>
      <c r="E438" s="94">
        <f>1726.8+712.5-191.9</f>
        <v>2247.4</v>
      </c>
      <c r="F438" s="94"/>
      <c r="G438" s="96"/>
      <c r="H438" s="93"/>
      <c r="I438" s="94"/>
      <c r="J438" s="94"/>
      <c r="K438" s="96"/>
      <c r="L438" s="121">
        <f t="shared" si="136"/>
        <v>2391.4</v>
      </c>
      <c r="M438" s="94">
        <v>2341.6</v>
      </c>
      <c r="N438" s="94">
        <v>49.8</v>
      </c>
      <c r="O438" s="95"/>
      <c r="P438" s="136">
        <f t="shared" si="137"/>
        <v>2143.2</v>
      </c>
      <c r="Q438" s="137">
        <v>2143.2</v>
      </c>
      <c r="R438" s="137"/>
      <c r="S438" s="138"/>
      <c r="T438" s="182"/>
      <c r="U438" s="168"/>
      <c r="V438" s="169"/>
      <c r="W438" s="188"/>
    </row>
    <row r="439" spans="1:23" s="12" customFormat="1" ht="15">
      <c r="A439" s="45" t="s">
        <v>61</v>
      </c>
      <c r="B439" s="70">
        <v>91</v>
      </c>
      <c r="C439" s="79"/>
      <c r="D439" s="33"/>
      <c r="E439" s="11"/>
      <c r="F439" s="11"/>
      <c r="G439" s="31"/>
      <c r="H439" s="33"/>
      <c r="I439" s="11"/>
      <c r="J439" s="11"/>
      <c r="K439" s="31"/>
      <c r="L439" s="40"/>
      <c r="M439" s="11"/>
      <c r="N439" s="11"/>
      <c r="O439" s="35"/>
      <c r="P439" s="40"/>
      <c r="Q439" s="11"/>
      <c r="R439" s="11"/>
      <c r="S439" s="35"/>
      <c r="T439" s="178"/>
      <c r="U439" s="167"/>
      <c r="V439" s="163"/>
      <c r="W439" s="187"/>
    </row>
    <row r="440" spans="1:23" s="6" customFormat="1" ht="12.75">
      <c r="A440" s="46" t="s">
        <v>8</v>
      </c>
      <c r="B440" s="77">
        <v>91</v>
      </c>
      <c r="C440" s="73" t="s">
        <v>9</v>
      </c>
      <c r="D440" s="17">
        <f>SUM(D441:D451)</f>
        <v>60025</v>
      </c>
      <c r="E440" s="5">
        <f>SUM(E441:E451)</f>
        <v>59858.100000000006</v>
      </c>
      <c r="F440" s="5">
        <f>SUM(F441:F451)</f>
        <v>166.9</v>
      </c>
      <c r="G440" s="16">
        <f>SUM(G441:G451)</f>
        <v>0</v>
      </c>
      <c r="H440" s="17">
        <f aca="true" t="shared" si="138" ref="H440:O440">SUM(H441:H451)</f>
        <v>0</v>
      </c>
      <c r="I440" s="5">
        <f t="shared" si="138"/>
        <v>0</v>
      </c>
      <c r="J440" s="5">
        <f t="shared" si="138"/>
        <v>0</v>
      </c>
      <c r="K440" s="16">
        <f t="shared" si="138"/>
        <v>0</v>
      </c>
      <c r="L440" s="38">
        <f t="shared" si="138"/>
        <v>63181.100000000006</v>
      </c>
      <c r="M440" s="5">
        <f t="shared" si="138"/>
        <v>62896.8</v>
      </c>
      <c r="N440" s="5">
        <f t="shared" si="138"/>
        <v>284.3</v>
      </c>
      <c r="O440" s="13">
        <f t="shared" si="138"/>
        <v>0</v>
      </c>
      <c r="P440" s="143">
        <f>SUM(P441:P451)</f>
        <v>64293.4</v>
      </c>
      <c r="Q440" s="144">
        <f>SUM(Q441:Q451)</f>
        <v>64126.50000000001</v>
      </c>
      <c r="R440" s="144">
        <f>SUM(R441:R451)</f>
        <v>166.9</v>
      </c>
      <c r="S440" s="171">
        <f>SUM(S441:S451)</f>
        <v>0</v>
      </c>
      <c r="T440" s="178"/>
      <c r="U440" s="167"/>
      <c r="V440" s="163"/>
      <c r="W440" s="187"/>
    </row>
    <row r="441" spans="1:23" ht="12.75">
      <c r="A441" s="47" t="s">
        <v>10</v>
      </c>
      <c r="B441" s="78">
        <v>91</v>
      </c>
      <c r="C441" s="75">
        <v>1</v>
      </c>
      <c r="D441" s="19">
        <f aca="true" t="shared" si="139" ref="D441:D451">E441+F441+G441</f>
        <v>4974.3</v>
      </c>
      <c r="E441" s="8">
        <v>4974.3</v>
      </c>
      <c r="F441" s="8"/>
      <c r="G441" s="18"/>
      <c r="H441" s="19"/>
      <c r="I441" s="8"/>
      <c r="J441" s="8"/>
      <c r="K441" s="18"/>
      <c r="L441" s="39">
        <f aca="true" t="shared" si="140" ref="L441:L451">M441+N441+O441</f>
        <v>6133.1</v>
      </c>
      <c r="M441" s="8">
        <v>6133.1</v>
      </c>
      <c r="N441" s="8"/>
      <c r="O441" s="14"/>
      <c r="P441" s="145">
        <f aca="true" t="shared" si="141" ref="P441:P451">Q441+R441+S441</f>
        <v>6373.6</v>
      </c>
      <c r="Q441" s="146">
        <v>6373.6</v>
      </c>
      <c r="R441" s="146"/>
      <c r="S441" s="172"/>
      <c r="T441" s="179"/>
      <c r="U441" s="168"/>
      <c r="V441" s="169"/>
      <c r="W441" s="190"/>
    </row>
    <row r="442" spans="1:23" ht="12.75">
      <c r="A442" s="47" t="s">
        <v>11</v>
      </c>
      <c r="B442" s="78">
        <v>91</v>
      </c>
      <c r="C442" s="75">
        <v>3</v>
      </c>
      <c r="D442" s="19">
        <f t="shared" si="139"/>
        <v>74.5</v>
      </c>
      <c r="E442" s="8">
        <v>74.5</v>
      </c>
      <c r="F442" s="8"/>
      <c r="G442" s="18"/>
      <c r="H442" s="19"/>
      <c r="I442" s="8"/>
      <c r="J442" s="8"/>
      <c r="K442" s="18"/>
      <c r="L442" s="39">
        <f t="shared" si="140"/>
        <v>90.6</v>
      </c>
      <c r="M442" s="8">
        <v>90.6</v>
      </c>
      <c r="N442" s="8"/>
      <c r="O442" s="14"/>
      <c r="P442" s="145">
        <f t="shared" si="141"/>
        <v>83.1</v>
      </c>
      <c r="Q442" s="146">
        <v>83.1</v>
      </c>
      <c r="R442" s="146"/>
      <c r="S442" s="172"/>
      <c r="T442" s="179"/>
      <c r="U442" s="168"/>
      <c r="V442" s="169"/>
      <c r="W442" s="190"/>
    </row>
    <row r="443" spans="1:23" ht="25.5">
      <c r="A443" s="47" t="s">
        <v>12</v>
      </c>
      <c r="B443" s="78">
        <v>91</v>
      </c>
      <c r="C443" s="75">
        <v>5</v>
      </c>
      <c r="D443" s="19">
        <f t="shared" si="139"/>
        <v>2285.6</v>
      </c>
      <c r="E443" s="8">
        <v>2285.6</v>
      </c>
      <c r="F443" s="8"/>
      <c r="G443" s="18"/>
      <c r="H443" s="19"/>
      <c r="I443" s="8"/>
      <c r="J443" s="8"/>
      <c r="K443" s="18"/>
      <c r="L443" s="39">
        <f t="shared" si="140"/>
        <v>2842.3</v>
      </c>
      <c r="M443" s="8">
        <v>2834.3</v>
      </c>
      <c r="N443" s="8">
        <v>8</v>
      </c>
      <c r="O443" s="14"/>
      <c r="P443" s="145">
        <f t="shared" si="141"/>
        <v>2762.1</v>
      </c>
      <c r="Q443" s="146">
        <v>2762.1</v>
      </c>
      <c r="R443" s="146"/>
      <c r="S443" s="172"/>
      <c r="T443" s="179"/>
      <c r="U443" s="168"/>
      <c r="V443" s="169"/>
      <c r="W443" s="190"/>
    </row>
    <row r="444" spans="1:23" ht="12.75">
      <c r="A444" s="47" t="s">
        <v>13</v>
      </c>
      <c r="B444" s="78">
        <v>91</v>
      </c>
      <c r="C444" s="75">
        <v>6</v>
      </c>
      <c r="D444" s="19">
        <f t="shared" si="139"/>
        <v>47245.1</v>
      </c>
      <c r="E444" s="8">
        <f>46640.9+440.6</f>
        <v>47081.5</v>
      </c>
      <c r="F444" s="8">
        <v>163.6</v>
      </c>
      <c r="G444" s="18"/>
      <c r="H444" s="19"/>
      <c r="I444" s="8"/>
      <c r="J444" s="8"/>
      <c r="K444" s="18"/>
      <c r="L444" s="39">
        <f t="shared" si="140"/>
        <v>46784.8</v>
      </c>
      <c r="M444" s="8">
        <v>46541.3</v>
      </c>
      <c r="N444" s="8">
        <v>243.5</v>
      </c>
      <c r="O444" s="14"/>
      <c r="P444" s="145">
        <f t="shared" si="141"/>
        <v>49280.1</v>
      </c>
      <c r="Q444" s="146">
        <f>49280.1-163.6</f>
        <v>49116.5</v>
      </c>
      <c r="R444" s="146">
        <v>163.6</v>
      </c>
      <c r="S444" s="172"/>
      <c r="T444" s="179"/>
      <c r="U444" s="168"/>
      <c r="V444" s="169"/>
      <c r="W444" s="190"/>
    </row>
    <row r="445" spans="1:23" ht="25.5">
      <c r="A445" s="47" t="s">
        <v>14</v>
      </c>
      <c r="B445" s="78">
        <v>91</v>
      </c>
      <c r="C445" s="75">
        <v>8</v>
      </c>
      <c r="D445" s="19">
        <f t="shared" si="139"/>
        <v>2523.7000000000003</v>
      </c>
      <c r="E445" s="8">
        <f>2396+124.4</f>
        <v>2520.4</v>
      </c>
      <c r="F445" s="8">
        <v>3.3</v>
      </c>
      <c r="G445" s="18"/>
      <c r="H445" s="19"/>
      <c r="I445" s="8"/>
      <c r="J445" s="8"/>
      <c r="K445" s="18"/>
      <c r="L445" s="39">
        <f t="shared" si="140"/>
        <v>3560.8</v>
      </c>
      <c r="M445" s="8">
        <v>3557</v>
      </c>
      <c r="N445" s="8">
        <v>3.8</v>
      </c>
      <c r="O445" s="14"/>
      <c r="P445" s="145">
        <f t="shared" si="141"/>
        <v>2889.7</v>
      </c>
      <c r="Q445" s="146">
        <f>2889.7-3.3</f>
        <v>2886.3999999999996</v>
      </c>
      <c r="R445" s="146">
        <v>3.3</v>
      </c>
      <c r="S445" s="172"/>
      <c r="T445" s="179"/>
      <c r="U445" s="168"/>
      <c r="V445" s="169"/>
      <c r="W445" s="190"/>
    </row>
    <row r="446" spans="1:23" ht="12.75">
      <c r="A446" s="47" t="s">
        <v>16</v>
      </c>
      <c r="B446" s="78">
        <v>91</v>
      </c>
      <c r="C446" s="75">
        <v>10</v>
      </c>
      <c r="D446" s="19">
        <f t="shared" si="139"/>
        <v>1283.9</v>
      </c>
      <c r="E446" s="8">
        <f>993.7+290.2</f>
        <v>1283.9</v>
      </c>
      <c r="F446" s="8"/>
      <c r="G446" s="18"/>
      <c r="H446" s="19"/>
      <c r="I446" s="8"/>
      <c r="J446" s="8"/>
      <c r="K446" s="18"/>
      <c r="L446" s="39">
        <f t="shared" si="140"/>
        <v>1718</v>
      </c>
      <c r="M446" s="8">
        <v>1718</v>
      </c>
      <c r="N446" s="8"/>
      <c r="O446" s="14"/>
      <c r="P446" s="145">
        <f t="shared" si="141"/>
        <v>1505.5</v>
      </c>
      <c r="Q446" s="146">
        <f>1136.9+368.6</f>
        <v>1505.5</v>
      </c>
      <c r="R446" s="146"/>
      <c r="S446" s="172"/>
      <c r="T446" s="179"/>
      <c r="U446" s="168"/>
      <c r="V446" s="169"/>
      <c r="W446" s="190"/>
    </row>
    <row r="447" spans="1:23" ht="25.5">
      <c r="A447" s="47" t="s">
        <v>17</v>
      </c>
      <c r="B447" s="78">
        <v>91</v>
      </c>
      <c r="C447" s="75">
        <v>11</v>
      </c>
      <c r="D447" s="19">
        <f t="shared" si="139"/>
        <v>270.5</v>
      </c>
      <c r="E447" s="8">
        <v>270.5</v>
      </c>
      <c r="F447" s="8"/>
      <c r="G447" s="18"/>
      <c r="H447" s="19"/>
      <c r="I447" s="8"/>
      <c r="J447" s="8"/>
      <c r="K447" s="18"/>
      <c r="L447" s="39">
        <f t="shared" si="140"/>
        <v>366.1</v>
      </c>
      <c r="M447" s="8">
        <v>366.1</v>
      </c>
      <c r="N447" s="8"/>
      <c r="O447" s="14"/>
      <c r="P447" s="145">
        <f t="shared" si="141"/>
        <v>348.9</v>
      </c>
      <c r="Q447" s="146">
        <v>348.9</v>
      </c>
      <c r="R447" s="146"/>
      <c r="S447" s="172"/>
      <c r="T447" s="179"/>
      <c r="U447" s="168"/>
      <c r="V447" s="169"/>
      <c r="W447" s="190"/>
    </row>
    <row r="448" spans="1:23" ht="12.75">
      <c r="A448" s="47" t="s">
        <v>19</v>
      </c>
      <c r="B448" s="78">
        <v>91</v>
      </c>
      <c r="C448" s="75">
        <v>13</v>
      </c>
      <c r="D448" s="19">
        <f t="shared" si="139"/>
        <v>83.4</v>
      </c>
      <c r="E448" s="8">
        <v>83.4</v>
      </c>
      <c r="F448" s="8"/>
      <c r="G448" s="18"/>
      <c r="H448" s="19"/>
      <c r="I448" s="8"/>
      <c r="J448" s="8"/>
      <c r="K448" s="18"/>
      <c r="L448" s="39">
        <f t="shared" si="140"/>
        <v>137.8</v>
      </c>
      <c r="M448" s="8">
        <v>137.8</v>
      </c>
      <c r="N448" s="8"/>
      <c r="O448" s="14"/>
      <c r="P448" s="145">
        <f t="shared" si="141"/>
        <v>111.4</v>
      </c>
      <c r="Q448" s="146">
        <v>111.4</v>
      </c>
      <c r="R448" s="146"/>
      <c r="S448" s="172"/>
      <c r="T448" s="179"/>
      <c r="U448" s="168"/>
      <c r="V448" s="169"/>
      <c r="W448" s="190"/>
    </row>
    <row r="449" spans="1:23" ht="25.5">
      <c r="A449" s="47" t="s">
        <v>27</v>
      </c>
      <c r="B449" s="78">
        <v>91</v>
      </c>
      <c r="C449" s="75">
        <v>15</v>
      </c>
      <c r="D449" s="19">
        <f t="shared" si="139"/>
        <v>0</v>
      </c>
      <c r="E449" s="8"/>
      <c r="F449" s="8"/>
      <c r="G449" s="18"/>
      <c r="H449" s="19"/>
      <c r="I449" s="8"/>
      <c r="J449" s="8"/>
      <c r="K449" s="18"/>
      <c r="L449" s="39">
        <f t="shared" si="140"/>
        <v>53.7</v>
      </c>
      <c r="M449" s="8">
        <v>24.7</v>
      </c>
      <c r="N449" s="8">
        <v>29</v>
      </c>
      <c r="O449" s="14"/>
      <c r="P449" s="145">
        <f t="shared" si="141"/>
        <v>0</v>
      </c>
      <c r="Q449" s="146">
        <v>0</v>
      </c>
      <c r="R449" s="146">
        <v>0</v>
      </c>
      <c r="S449" s="172"/>
      <c r="T449" s="179"/>
      <c r="U449" s="168"/>
      <c r="V449" s="169"/>
      <c r="W449" s="190"/>
    </row>
    <row r="450" spans="1:23" ht="25.5">
      <c r="A450" s="47" t="s">
        <v>22</v>
      </c>
      <c r="B450" s="78">
        <v>91</v>
      </c>
      <c r="C450" s="75">
        <v>19</v>
      </c>
      <c r="D450" s="19">
        <f t="shared" si="139"/>
        <v>53.9</v>
      </c>
      <c r="E450" s="8">
        <v>53.9</v>
      </c>
      <c r="F450" s="8"/>
      <c r="G450" s="18"/>
      <c r="H450" s="19"/>
      <c r="I450" s="8"/>
      <c r="J450" s="8"/>
      <c r="K450" s="18"/>
      <c r="L450" s="39">
        <f t="shared" si="140"/>
        <v>114.1</v>
      </c>
      <c r="M450" s="8">
        <v>114.1</v>
      </c>
      <c r="N450" s="8"/>
      <c r="O450" s="14"/>
      <c r="P450" s="145">
        <f t="shared" si="141"/>
        <v>70.7</v>
      </c>
      <c r="Q450" s="146">
        <v>70.7</v>
      </c>
      <c r="R450" s="146"/>
      <c r="S450" s="172"/>
      <c r="T450" s="179"/>
      <c r="U450" s="168"/>
      <c r="V450" s="169"/>
      <c r="W450" s="190"/>
    </row>
    <row r="451" spans="1:23" ht="25.5">
      <c r="A451" s="47" t="s">
        <v>23</v>
      </c>
      <c r="B451" s="78">
        <v>91</v>
      </c>
      <c r="C451" s="75">
        <v>20</v>
      </c>
      <c r="D451" s="19">
        <f t="shared" si="139"/>
        <v>1230.1000000000001</v>
      </c>
      <c r="E451" s="8">
        <f>699.7+288.7+241.7</f>
        <v>1230.1000000000001</v>
      </c>
      <c r="F451" s="8"/>
      <c r="G451" s="18"/>
      <c r="H451" s="19"/>
      <c r="I451" s="8"/>
      <c r="J451" s="8"/>
      <c r="K451" s="18"/>
      <c r="L451" s="39">
        <f t="shared" si="140"/>
        <v>1379.8</v>
      </c>
      <c r="M451" s="8">
        <v>1379.8</v>
      </c>
      <c r="N451" s="8"/>
      <c r="O451" s="14"/>
      <c r="P451" s="145">
        <f t="shared" si="141"/>
        <v>868.3</v>
      </c>
      <c r="Q451" s="146">
        <v>868.3</v>
      </c>
      <c r="R451" s="146"/>
      <c r="S451" s="172"/>
      <c r="T451" s="182"/>
      <c r="U451" s="168"/>
      <c r="V451" s="169"/>
      <c r="W451" s="188"/>
    </row>
    <row r="452" spans="1:23" s="12" customFormat="1" ht="15">
      <c r="A452" s="45" t="s">
        <v>62</v>
      </c>
      <c r="B452" s="70">
        <v>93</v>
      </c>
      <c r="C452" s="79"/>
      <c r="D452" s="33"/>
      <c r="E452" s="11"/>
      <c r="F452" s="11"/>
      <c r="G452" s="31"/>
      <c r="H452" s="33"/>
      <c r="I452" s="11"/>
      <c r="J452" s="11"/>
      <c r="K452" s="31"/>
      <c r="L452" s="40"/>
      <c r="M452" s="11"/>
      <c r="N452" s="11"/>
      <c r="O452" s="35"/>
      <c r="P452" s="40"/>
      <c r="Q452" s="11"/>
      <c r="R452" s="11"/>
      <c r="S452" s="35"/>
      <c r="T452" s="178"/>
      <c r="U452" s="167"/>
      <c r="V452" s="163"/>
      <c r="W452" s="187"/>
    </row>
    <row r="453" spans="1:23" s="6" customFormat="1" ht="12.75">
      <c r="A453" s="46" t="s">
        <v>8</v>
      </c>
      <c r="B453" s="77">
        <v>93</v>
      </c>
      <c r="C453" s="73" t="s">
        <v>9</v>
      </c>
      <c r="D453" s="17">
        <f>SUM(D454:D464)</f>
        <v>92315.49999999999</v>
      </c>
      <c r="E453" s="5">
        <f>SUM(E454:E464)</f>
        <v>92109.79999999999</v>
      </c>
      <c r="F453" s="5">
        <f>SUM(F454:F464)</f>
        <v>205.70000000000002</v>
      </c>
      <c r="G453" s="16">
        <f>SUM(G454:G464)</f>
        <v>0</v>
      </c>
      <c r="H453" s="17">
        <f aca="true" t="shared" si="142" ref="H453:O453">SUM(H454:H464)</f>
        <v>0</v>
      </c>
      <c r="I453" s="5">
        <f t="shared" si="142"/>
        <v>0</v>
      </c>
      <c r="J453" s="5">
        <f t="shared" si="142"/>
        <v>0</v>
      </c>
      <c r="K453" s="16">
        <f t="shared" si="142"/>
        <v>0</v>
      </c>
      <c r="L453" s="38">
        <f t="shared" si="142"/>
        <v>100794.20000000001</v>
      </c>
      <c r="M453" s="5">
        <f t="shared" si="142"/>
        <v>100285.2</v>
      </c>
      <c r="N453" s="5">
        <f t="shared" si="142"/>
        <v>509</v>
      </c>
      <c r="O453" s="13">
        <f t="shared" si="142"/>
        <v>0</v>
      </c>
      <c r="P453" s="143">
        <f>SUM(P454:P464)</f>
        <v>102119.8</v>
      </c>
      <c r="Q453" s="144">
        <f>SUM(Q454:Q464)</f>
        <v>101914.10000000002</v>
      </c>
      <c r="R453" s="144">
        <f>SUM(R454:R464)</f>
        <v>205.70000000000002</v>
      </c>
      <c r="S453" s="171">
        <f>SUM(S454:S464)</f>
        <v>0</v>
      </c>
      <c r="T453" s="178"/>
      <c r="U453" s="167"/>
      <c r="V453" s="163"/>
      <c r="W453" s="187"/>
    </row>
    <row r="454" spans="1:23" ht="12.75">
      <c r="A454" s="47" t="s">
        <v>10</v>
      </c>
      <c r="B454" s="78">
        <v>93</v>
      </c>
      <c r="C454" s="75">
        <v>1</v>
      </c>
      <c r="D454" s="19">
        <f aca="true" t="shared" si="143" ref="D454:D464">E454+F454+G454</f>
        <v>8249.1</v>
      </c>
      <c r="E454" s="8">
        <v>8249.1</v>
      </c>
      <c r="F454" s="8"/>
      <c r="G454" s="18"/>
      <c r="H454" s="19"/>
      <c r="I454" s="8"/>
      <c r="J454" s="8"/>
      <c r="K454" s="18"/>
      <c r="L454" s="39">
        <f aca="true" t="shared" si="144" ref="L454:L464">M454+N454+O454</f>
        <v>9772</v>
      </c>
      <c r="M454" s="8">
        <v>9767.4</v>
      </c>
      <c r="N454" s="8">
        <v>4.6</v>
      </c>
      <c r="O454" s="14"/>
      <c r="P454" s="145">
        <f aca="true" t="shared" si="145" ref="P454:P464">Q454+R454+S454</f>
        <v>10376.9</v>
      </c>
      <c r="Q454" s="146">
        <v>10376.9</v>
      </c>
      <c r="R454" s="146"/>
      <c r="S454" s="172"/>
      <c r="T454" s="179"/>
      <c r="U454" s="168"/>
      <c r="V454" s="169"/>
      <c r="W454" s="190"/>
    </row>
    <row r="455" spans="1:23" ht="12.75">
      <c r="A455" s="47" t="s">
        <v>11</v>
      </c>
      <c r="B455" s="78">
        <v>93</v>
      </c>
      <c r="C455" s="75">
        <v>3</v>
      </c>
      <c r="D455" s="19">
        <f t="shared" si="143"/>
        <v>80.9</v>
      </c>
      <c r="E455" s="8">
        <v>80.9</v>
      </c>
      <c r="F455" s="8"/>
      <c r="G455" s="18"/>
      <c r="H455" s="19"/>
      <c r="I455" s="8"/>
      <c r="J455" s="8"/>
      <c r="K455" s="18"/>
      <c r="L455" s="39">
        <f t="shared" si="144"/>
        <v>110.1</v>
      </c>
      <c r="M455" s="8">
        <v>110.1</v>
      </c>
      <c r="N455" s="8"/>
      <c r="O455" s="14"/>
      <c r="P455" s="145">
        <f t="shared" si="145"/>
        <v>94.8</v>
      </c>
      <c r="Q455" s="146">
        <v>94.8</v>
      </c>
      <c r="R455" s="146"/>
      <c r="S455" s="172"/>
      <c r="T455" s="179"/>
      <c r="U455" s="168"/>
      <c r="V455" s="169"/>
      <c r="W455" s="190"/>
    </row>
    <row r="456" spans="1:23" ht="25.5">
      <c r="A456" s="47" t="s">
        <v>12</v>
      </c>
      <c r="B456" s="78">
        <v>93</v>
      </c>
      <c r="C456" s="75">
        <v>5</v>
      </c>
      <c r="D456" s="19">
        <f t="shared" si="143"/>
        <v>2805</v>
      </c>
      <c r="E456" s="8">
        <v>2805</v>
      </c>
      <c r="F456" s="8"/>
      <c r="G456" s="18"/>
      <c r="H456" s="19"/>
      <c r="I456" s="8"/>
      <c r="J456" s="8"/>
      <c r="K456" s="18"/>
      <c r="L456" s="39">
        <f t="shared" si="144"/>
        <v>3495</v>
      </c>
      <c r="M456" s="8">
        <v>3495</v>
      </c>
      <c r="N456" s="8"/>
      <c r="O456" s="14"/>
      <c r="P456" s="145">
        <f t="shared" si="145"/>
        <v>3406.3</v>
      </c>
      <c r="Q456" s="146">
        <v>3406.3</v>
      </c>
      <c r="R456" s="146"/>
      <c r="S456" s="172"/>
      <c r="T456" s="179"/>
      <c r="U456" s="168"/>
      <c r="V456" s="169"/>
      <c r="W456" s="190"/>
    </row>
    <row r="457" spans="1:23" ht="12.75">
      <c r="A457" s="47" t="s">
        <v>13</v>
      </c>
      <c r="B457" s="78">
        <v>93</v>
      </c>
      <c r="C457" s="75">
        <v>6</v>
      </c>
      <c r="D457" s="19">
        <f t="shared" si="143"/>
        <v>71439.7</v>
      </c>
      <c r="E457" s="8">
        <f>70815.7+440.6</f>
        <v>71256.3</v>
      </c>
      <c r="F457" s="8">
        <v>183.4</v>
      </c>
      <c r="G457" s="18"/>
      <c r="H457" s="19"/>
      <c r="I457" s="8"/>
      <c r="J457" s="8"/>
      <c r="K457" s="18"/>
      <c r="L457" s="39">
        <f t="shared" si="144"/>
        <v>73945</v>
      </c>
      <c r="M457" s="8">
        <v>73651.3</v>
      </c>
      <c r="N457" s="8">
        <v>293.7</v>
      </c>
      <c r="O457" s="14"/>
      <c r="P457" s="145">
        <f t="shared" si="145"/>
        <v>76628.1</v>
      </c>
      <c r="Q457" s="146">
        <f>76628.1-183.4</f>
        <v>76444.70000000001</v>
      </c>
      <c r="R457" s="146">
        <v>183.4</v>
      </c>
      <c r="S457" s="172"/>
      <c r="T457" s="179"/>
      <c r="U457" s="168"/>
      <c r="V457" s="169"/>
      <c r="W457" s="190"/>
    </row>
    <row r="458" spans="1:23" ht="25.5">
      <c r="A458" s="47" t="s">
        <v>14</v>
      </c>
      <c r="B458" s="78">
        <v>93</v>
      </c>
      <c r="C458" s="75">
        <v>8</v>
      </c>
      <c r="D458" s="19">
        <f t="shared" si="143"/>
        <v>4017.1000000000004</v>
      </c>
      <c r="E458" s="8">
        <f>3870.4+124.4</f>
        <v>3994.8</v>
      </c>
      <c r="F458" s="8">
        <v>22.3</v>
      </c>
      <c r="G458" s="18"/>
      <c r="H458" s="19"/>
      <c r="I458" s="8"/>
      <c r="J458" s="8"/>
      <c r="K458" s="18"/>
      <c r="L458" s="39">
        <f t="shared" si="144"/>
        <v>5902.599999999999</v>
      </c>
      <c r="M458" s="8">
        <v>5872.4</v>
      </c>
      <c r="N458" s="8">
        <v>30.2</v>
      </c>
      <c r="O458" s="14"/>
      <c r="P458" s="145">
        <f t="shared" si="145"/>
        <v>4581.9</v>
      </c>
      <c r="Q458" s="146">
        <f>4581.9-22.3</f>
        <v>4559.599999999999</v>
      </c>
      <c r="R458" s="146">
        <v>22.3</v>
      </c>
      <c r="S458" s="172"/>
      <c r="T458" s="179"/>
      <c r="U458" s="168"/>
      <c r="V458" s="169"/>
      <c r="W458" s="190"/>
    </row>
    <row r="459" spans="1:23" ht="12.75">
      <c r="A459" s="47" t="s">
        <v>16</v>
      </c>
      <c r="B459" s="78">
        <v>93</v>
      </c>
      <c r="C459" s="75">
        <v>10</v>
      </c>
      <c r="D459" s="19">
        <f t="shared" si="143"/>
        <v>3114.1</v>
      </c>
      <c r="E459" s="8">
        <f>2782.5+331.6</f>
        <v>3114.1</v>
      </c>
      <c r="F459" s="8"/>
      <c r="G459" s="18"/>
      <c r="H459" s="19"/>
      <c r="I459" s="8"/>
      <c r="J459" s="8"/>
      <c r="K459" s="18"/>
      <c r="L459" s="39">
        <f t="shared" si="144"/>
        <v>4276.5</v>
      </c>
      <c r="M459" s="8">
        <v>4276.5</v>
      </c>
      <c r="N459" s="8"/>
      <c r="O459" s="14"/>
      <c r="P459" s="145">
        <f t="shared" si="145"/>
        <v>3899.1000000000004</v>
      </c>
      <c r="Q459" s="146">
        <f>3477.8+421.3</f>
        <v>3899.1000000000004</v>
      </c>
      <c r="R459" s="146"/>
      <c r="S459" s="172"/>
      <c r="T459" s="179"/>
      <c r="U459" s="168"/>
      <c r="V459" s="169"/>
      <c r="W459" s="190"/>
    </row>
    <row r="460" spans="1:23" ht="25.5">
      <c r="A460" s="47" t="s">
        <v>17</v>
      </c>
      <c r="B460" s="78">
        <v>93</v>
      </c>
      <c r="C460" s="75">
        <v>11</v>
      </c>
      <c r="D460" s="19">
        <f t="shared" si="143"/>
        <v>231.9</v>
      </c>
      <c r="E460" s="8">
        <v>231.9</v>
      </c>
      <c r="F460" s="8"/>
      <c r="G460" s="18"/>
      <c r="H460" s="19"/>
      <c r="I460" s="8"/>
      <c r="J460" s="8"/>
      <c r="K460" s="18"/>
      <c r="L460" s="39">
        <f t="shared" si="144"/>
        <v>301.6</v>
      </c>
      <c r="M460" s="8">
        <v>301.6</v>
      </c>
      <c r="N460" s="8"/>
      <c r="O460" s="14"/>
      <c r="P460" s="145">
        <f t="shared" si="145"/>
        <v>299.1</v>
      </c>
      <c r="Q460" s="146">
        <v>299.1</v>
      </c>
      <c r="R460" s="146"/>
      <c r="S460" s="172"/>
      <c r="T460" s="179"/>
      <c r="U460" s="168"/>
      <c r="V460" s="169"/>
      <c r="W460" s="190"/>
    </row>
    <row r="461" spans="1:23" ht="12.75">
      <c r="A461" s="47" t="s">
        <v>19</v>
      </c>
      <c r="B461" s="78">
        <v>93</v>
      </c>
      <c r="C461" s="75">
        <v>13</v>
      </c>
      <c r="D461" s="19">
        <f t="shared" si="143"/>
        <v>133.4</v>
      </c>
      <c r="E461" s="8">
        <v>133.4</v>
      </c>
      <c r="F461" s="8"/>
      <c r="G461" s="18"/>
      <c r="H461" s="19"/>
      <c r="I461" s="8"/>
      <c r="J461" s="8"/>
      <c r="K461" s="18"/>
      <c r="L461" s="39">
        <f t="shared" si="144"/>
        <v>149.1</v>
      </c>
      <c r="M461" s="8">
        <v>149.1</v>
      </c>
      <c r="N461" s="8"/>
      <c r="O461" s="14"/>
      <c r="P461" s="145">
        <f t="shared" si="145"/>
        <v>178.2</v>
      </c>
      <c r="Q461" s="146">
        <v>178.2</v>
      </c>
      <c r="R461" s="146"/>
      <c r="S461" s="172"/>
      <c r="T461" s="179"/>
      <c r="U461" s="168"/>
      <c r="V461" s="169"/>
      <c r="W461" s="190"/>
    </row>
    <row r="462" spans="1:23" ht="25.5">
      <c r="A462" s="47" t="s">
        <v>27</v>
      </c>
      <c r="B462" s="78">
        <v>93</v>
      </c>
      <c r="C462" s="75">
        <v>15</v>
      </c>
      <c r="D462" s="19">
        <f t="shared" si="143"/>
        <v>0</v>
      </c>
      <c r="E462" s="8"/>
      <c r="F462" s="8"/>
      <c r="G462" s="18"/>
      <c r="H462" s="19"/>
      <c r="I462" s="8"/>
      <c r="J462" s="8"/>
      <c r="K462" s="18"/>
      <c r="L462" s="39">
        <f t="shared" si="144"/>
        <v>180.5</v>
      </c>
      <c r="M462" s="8"/>
      <c r="N462" s="8">
        <v>180.5</v>
      </c>
      <c r="O462" s="14"/>
      <c r="P462" s="145">
        <f t="shared" si="145"/>
        <v>0</v>
      </c>
      <c r="Q462" s="146"/>
      <c r="R462" s="146">
        <v>0</v>
      </c>
      <c r="S462" s="172"/>
      <c r="T462" s="179"/>
      <c r="U462" s="168"/>
      <c r="V462" s="169"/>
      <c r="W462" s="190"/>
    </row>
    <row r="463" spans="1:23" ht="25.5">
      <c r="A463" s="47" t="s">
        <v>22</v>
      </c>
      <c r="B463" s="78">
        <v>93</v>
      </c>
      <c r="C463" s="75">
        <v>19</v>
      </c>
      <c r="D463" s="19">
        <f t="shared" si="143"/>
        <v>53.9</v>
      </c>
      <c r="E463" s="8">
        <v>53.9</v>
      </c>
      <c r="F463" s="8"/>
      <c r="G463" s="18"/>
      <c r="H463" s="19"/>
      <c r="I463" s="8"/>
      <c r="J463" s="8"/>
      <c r="K463" s="18"/>
      <c r="L463" s="39">
        <f t="shared" si="144"/>
        <v>78.4</v>
      </c>
      <c r="M463" s="8">
        <v>78.4</v>
      </c>
      <c r="N463" s="8"/>
      <c r="O463" s="14"/>
      <c r="P463" s="145">
        <f t="shared" si="145"/>
        <v>70.7</v>
      </c>
      <c r="Q463" s="146">
        <v>70.7</v>
      </c>
      <c r="R463" s="146"/>
      <c r="S463" s="172"/>
      <c r="T463" s="179"/>
      <c r="U463" s="168"/>
      <c r="V463" s="169"/>
      <c r="W463" s="190"/>
    </row>
    <row r="464" spans="1:23" ht="25.5">
      <c r="A464" s="47" t="s">
        <v>23</v>
      </c>
      <c r="B464" s="78">
        <v>93</v>
      </c>
      <c r="C464" s="75">
        <v>20</v>
      </c>
      <c r="D464" s="19">
        <f t="shared" si="143"/>
        <v>2190.3999999999996</v>
      </c>
      <c r="E464" s="8">
        <f>2082.6+859.3-751.5</f>
        <v>2190.3999999999996</v>
      </c>
      <c r="F464" s="8"/>
      <c r="G464" s="18"/>
      <c r="H464" s="19"/>
      <c r="I464" s="8"/>
      <c r="J464" s="8"/>
      <c r="K464" s="18"/>
      <c r="L464" s="39">
        <f t="shared" si="144"/>
        <v>2583.4</v>
      </c>
      <c r="M464" s="8">
        <v>2583.4</v>
      </c>
      <c r="N464" s="8"/>
      <c r="O464" s="14"/>
      <c r="P464" s="145">
        <f t="shared" si="145"/>
        <v>2584.7</v>
      </c>
      <c r="Q464" s="146">
        <v>2584.7</v>
      </c>
      <c r="R464" s="146"/>
      <c r="S464" s="172"/>
      <c r="T464" s="182"/>
      <c r="U464" s="168"/>
      <c r="V464" s="169"/>
      <c r="W464" s="188"/>
    </row>
    <row r="465" spans="1:23" s="12" customFormat="1" ht="15">
      <c r="A465" s="45" t="s">
        <v>63</v>
      </c>
      <c r="B465" s="70">
        <v>95</v>
      </c>
      <c r="C465" s="79"/>
      <c r="D465" s="33"/>
      <c r="E465" s="11"/>
      <c r="F465" s="11"/>
      <c r="G465" s="31"/>
      <c r="H465" s="33"/>
      <c r="I465" s="11"/>
      <c r="J465" s="11"/>
      <c r="K465" s="31"/>
      <c r="L465" s="40"/>
      <c r="M465" s="11"/>
      <c r="N465" s="11"/>
      <c r="O465" s="35"/>
      <c r="P465" s="40"/>
      <c r="Q465" s="11"/>
      <c r="R465" s="11"/>
      <c r="S465" s="35"/>
      <c r="T465" s="178"/>
      <c r="U465" s="167"/>
      <c r="V465" s="163"/>
      <c r="W465" s="187"/>
    </row>
    <row r="466" spans="1:23" s="6" customFormat="1" ht="12.75">
      <c r="A466" s="46" t="s">
        <v>8</v>
      </c>
      <c r="B466" s="77">
        <v>95</v>
      </c>
      <c r="C466" s="73" t="s">
        <v>9</v>
      </c>
      <c r="D466" s="17">
        <f>SUM(D467:D477)</f>
        <v>140311.5</v>
      </c>
      <c r="E466" s="5">
        <f>SUM(E467:E477)</f>
        <v>139738.09999999998</v>
      </c>
      <c r="F466" s="5">
        <f>SUM(F467:F477)</f>
        <v>573.4000000000001</v>
      </c>
      <c r="G466" s="16">
        <f>SUM(G467:G477)</f>
        <v>0</v>
      </c>
      <c r="H466" s="17">
        <f aca="true" t="shared" si="146" ref="H466:O466">SUM(H467:H477)</f>
        <v>0</v>
      </c>
      <c r="I466" s="5">
        <f t="shared" si="146"/>
        <v>0</v>
      </c>
      <c r="J466" s="5">
        <f t="shared" si="146"/>
        <v>0</v>
      </c>
      <c r="K466" s="16">
        <f t="shared" si="146"/>
        <v>0</v>
      </c>
      <c r="L466" s="38">
        <f t="shared" si="146"/>
        <v>156388.69999999998</v>
      </c>
      <c r="M466" s="5">
        <f t="shared" si="146"/>
        <v>155280.2</v>
      </c>
      <c r="N466" s="5">
        <f t="shared" si="146"/>
        <v>1108.4999999999998</v>
      </c>
      <c r="O466" s="13">
        <f t="shared" si="146"/>
        <v>0</v>
      </c>
      <c r="P466" s="143">
        <f>SUM(P467:P477)</f>
        <v>151468</v>
      </c>
      <c r="Q466" s="144">
        <f>SUM(Q467:Q477)</f>
        <v>150894.60000000003</v>
      </c>
      <c r="R466" s="144">
        <f>SUM(R467:R477)</f>
        <v>573.4000000000001</v>
      </c>
      <c r="S466" s="171">
        <f>SUM(S467:S477)</f>
        <v>0</v>
      </c>
      <c r="T466" s="178"/>
      <c r="U466" s="167"/>
      <c r="V466" s="163"/>
      <c r="W466" s="187"/>
    </row>
    <row r="467" spans="1:23" ht="12.75">
      <c r="A467" s="47" t="s">
        <v>10</v>
      </c>
      <c r="B467" s="78">
        <v>95</v>
      </c>
      <c r="C467" s="75">
        <v>1</v>
      </c>
      <c r="D467" s="19">
        <f aca="true" t="shared" si="147" ref="D467:D477">E467+F467+G467</f>
        <v>9658.5</v>
      </c>
      <c r="E467" s="8">
        <v>9658.5</v>
      </c>
      <c r="F467" s="8"/>
      <c r="G467" s="18"/>
      <c r="H467" s="19"/>
      <c r="I467" s="8"/>
      <c r="J467" s="8"/>
      <c r="K467" s="18"/>
      <c r="L467" s="39">
        <f aca="true" t="shared" si="148" ref="L467:L477">M467+N467+O467</f>
        <v>11866.2</v>
      </c>
      <c r="M467" s="8">
        <v>11823.7</v>
      </c>
      <c r="N467" s="8">
        <v>42.5</v>
      </c>
      <c r="O467" s="14"/>
      <c r="P467" s="145">
        <f aca="true" t="shared" si="149" ref="P467:P477">Q467+R467+S467</f>
        <v>12220.5</v>
      </c>
      <c r="Q467" s="146">
        <v>12220.5</v>
      </c>
      <c r="R467" s="146"/>
      <c r="S467" s="172"/>
      <c r="T467" s="179"/>
      <c r="U467" s="168"/>
      <c r="V467" s="169"/>
      <c r="W467" s="190"/>
    </row>
    <row r="468" spans="1:23" ht="12.75">
      <c r="A468" s="47" t="s">
        <v>11</v>
      </c>
      <c r="B468" s="78">
        <v>95</v>
      </c>
      <c r="C468" s="75">
        <v>3</v>
      </c>
      <c r="D468" s="19">
        <f t="shared" si="147"/>
        <v>131.7</v>
      </c>
      <c r="E468" s="8">
        <v>131.7</v>
      </c>
      <c r="F468" s="8"/>
      <c r="G468" s="18"/>
      <c r="H468" s="19"/>
      <c r="I468" s="8"/>
      <c r="J468" s="8"/>
      <c r="K468" s="18"/>
      <c r="L468" s="39">
        <f t="shared" si="148"/>
        <v>153</v>
      </c>
      <c r="M468" s="8">
        <v>153</v>
      </c>
      <c r="N468" s="8"/>
      <c r="O468" s="14"/>
      <c r="P468" s="145">
        <f t="shared" si="149"/>
        <v>147.8</v>
      </c>
      <c r="Q468" s="146">
        <v>147.8</v>
      </c>
      <c r="R468" s="146"/>
      <c r="S468" s="172"/>
      <c r="T468" s="179"/>
      <c r="U468" s="168"/>
      <c r="V468" s="169"/>
      <c r="W468" s="190"/>
    </row>
    <row r="469" spans="1:23" ht="25.5">
      <c r="A469" s="47" t="s">
        <v>12</v>
      </c>
      <c r="B469" s="78">
        <v>95</v>
      </c>
      <c r="C469" s="75">
        <v>5</v>
      </c>
      <c r="D469" s="19">
        <f t="shared" si="147"/>
        <v>4528.8</v>
      </c>
      <c r="E469" s="8">
        <v>4528.8</v>
      </c>
      <c r="F469" s="8"/>
      <c r="G469" s="18"/>
      <c r="H469" s="19"/>
      <c r="I469" s="8"/>
      <c r="J469" s="8"/>
      <c r="K469" s="18"/>
      <c r="L469" s="39">
        <f t="shared" si="148"/>
        <v>5736.8</v>
      </c>
      <c r="M469" s="8">
        <v>5736.8</v>
      </c>
      <c r="N469" s="8"/>
      <c r="O469" s="14"/>
      <c r="P469" s="145">
        <f t="shared" si="149"/>
        <v>5466.4</v>
      </c>
      <c r="Q469" s="146">
        <v>5466.4</v>
      </c>
      <c r="R469" s="146"/>
      <c r="S469" s="172"/>
      <c r="T469" s="179"/>
      <c r="U469" s="168"/>
      <c r="V469" s="169"/>
      <c r="W469" s="190"/>
    </row>
    <row r="470" spans="1:23" ht="12.75">
      <c r="A470" s="47" t="s">
        <v>13</v>
      </c>
      <c r="B470" s="78">
        <v>95</v>
      </c>
      <c r="C470" s="75">
        <v>6</v>
      </c>
      <c r="D470" s="19">
        <f t="shared" si="147"/>
        <v>111368.00000000001</v>
      </c>
      <c r="E470" s="8">
        <f>110370.1+560.8</f>
        <v>110930.90000000001</v>
      </c>
      <c r="F470" s="8">
        <v>437.1</v>
      </c>
      <c r="G470" s="18"/>
      <c r="H470" s="19"/>
      <c r="I470" s="8"/>
      <c r="J470" s="8"/>
      <c r="K470" s="18"/>
      <c r="L470" s="39">
        <f t="shared" si="148"/>
        <v>118092.1</v>
      </c>
      <c r="M470" s="8">
        <v>117330.3</v>
      </c>
      <c r="N470" s="8">
        <v>761.8</v>
      </c>
      <c r="O470" s="14"/>
      <c r="P470" s="145">
        <f t="shared" si="149"/>
        <v>117244.4</v>
      </c>
      <c r="Q470" s="146">
        <f>117244.4-437.1</f>
        <v>116807.29999999999</v>
      </c>
      <c r="R470" s="146">
        <v>437.1</v>
      </c>
      <c r="S470" s="172"/>
      <c r="T470" s="179"/>
      <c r="U470" s="168"/>
      <c r="V470" s="169"/>
      <c r="W470" s="190"/>
    </row>
    <row r="471" spans="1:23" ht="25.5">
      <c r="A471" s="47" t="s">
        <v>14</v>
      </c>
      <c r="B471" s="78">
        <v>95</v>
      </c>
      <c r="C471" s="75">
        <v>8</v>
      </c>
      <c r="D471" s="19">
        <f t="shared" si="147"/>
        <v>5567.9</v>
      </c>
      <c r="E471" s="8">
        <f>5376.4+124.4</f>
        <v>5500.799999999999</v>
      </c>
      <c r="F471" s="8">
        <v>67.1</v>
      </c>
      <c r="G471" s="18"/>
      <c r="H471" s="19"/>
      <c r="I471" s="8"/>
      <c r="J471" s="8"/>
      <c r="K471" s="18"/>
      <c r="L471" s="39">
        <f t="shared" si="148"/>
        <v>8394</v>
      </c>
      <c r="M471" s="8">
        <v>8292.1</v>
      </c>
      <c r="N471" s="8">
        <v>101.9</v>
      </c>
      <c r="O471" s="14"/>
      <c r="P471" s="145">
        <f t="shared" si="149"/>
        <v>6528.7</v>
      </c>
      <c r="Q471" s="146">
        <f>6528.7-67.1</f>
        <v>6461.599999999999</v>
      </c>
      <c r="R471" s="146">
        <v>67.1</v>
      </c>
      <c r="S471" s="172"/>
      <c r="T471" s="179"/>
      <c r="U471" s="168"/>
      <c r="V471" s="169"/>
      <c r="W471" s="190"/>
    </row>
    <row r="472" spans="1:23" ht="12.75">
      <c r="A472" s="47" t="s">
        <v>16</v>
      </c>
      <c r="B472" s="78">
        <v>95</v>
      </c>
      <c r="C472" s="75">
        <v>10</v>
      </c>
      <c r="D472" s="19">
        <f t="shared" si="147"/>
        <v>5662</v>
      </c>
      <c r="E472" s="8">
        <f>5178.3+414.5</f>
        <v>5592.8</v>
      </c>
      <c r="F472" s="8">
        <v>69.2</v>
      </c>
      <c r="G472" s="18"/>
      <c r="H472" s="19"/>
      <c r="I472" s="8"/>
      <c r="J472" s="8"/>
      <c r="K472" s="18"/>
      <c r="L472" s="39">
        <f t="shared" si="148"/>
        <v>7934</v>
      </c>
      <c r="M472" s="8">
        <v>7863.7</v>
      </c>
      <c r="N472" s="8">
        <v>70.3</v>
      </c>
      <c r="O472" s="14"/>
      <c r="P472" s="145">
        <f t="shared" si="149"/>
        <v>6644.900000000001</v>
      </c>
      <c r="Q472" s="146">
        <f>6049.1+526.6</f>
        <v>6575.700000000001</v>
      </c>
      <c r="R472" s="146">
        <v>69.2</v>
      </c>
      <c r="S472" s="172"/>
      <c r="T472" s="179"/>
      <c r="U472" s="168"/>
      <c r="V472" s="169"/>
      <c r="W472" s="190"/>
    </row>
    <row r="473" spans="1:23" ht="25.5">
      <c r="A473" s="47" t="s">
        <v>17</v>
      </c>
      <c r="B473" s="78">
        <v>95</v>
      </c>
      <c r="C473" s="75">
        <v>11</v>
      </c>
      <c r="D473" s="19">
        <f t="shared" si="147"/>
        <v>347.8</v>
      </c>
      <c r="E473" s="8">
        <v>347.8</v>
      </c>
      <c r="F473" s="8"/>
      <c r="G473" s="18"/>
      <c r="H473" s="19"/>
      <c r="I473" s="8"/>
      <c r="J473" s="8"/>
      <c r="K473" s="18"/>
      <c r="L473" s="39">
        <f t="shared" si="148"/>
        <v>344.3</v>
      </c>
      <c r="M473" s="8">
        <v>344.3</v>
      </c>
      <c r="N473" s="8"/>
      <c r="O473" s="14"/>
      <c r="P473" s="145">
        <f t="shared" si="149"/>
        <v>448.6</v>
      </c>
      <c r="Q473" s="146">
        <v>448.6</v>
      </c>
      <c r="R473" s="146"/>
      <c r="S473" s="172"/>
      <c r="T473" s="179"/>
      <c r="U473" s="168"/>
      <c r="V473" s="169"/>
      <c r="W473" s="190"/>
    </row>
    <row r="474" spans="1:23" ht="12.75">
      <c r="A474" s="47" t="s">
        <v>19</v>
      </c>
      <c r="B474" s="78">
        <v>95</v>
      </c>
      <c r="C474" s="75">
        <v>13</v>
      </c>
      <c r="D474" s="19">
        <f t="shared" si="147"/>
        <v>133.4</v>
      </c>
      <c r="E474" s="8">
        <v>133.4</v>
      </c>
      <c r="F474" s="8"/>
      <c r="G474" s="18"/>
      <c r="H474" s="19"/>
      <c r="I474" s="8"/>
      <c r="J474" s="8"/>
      <c r="K474" s="18"/>
      <c r="L474" s="39">
        <f t="shared" si="148"/>
        <v>200.7</v>
      </c>
      <c r="M474" s="8">
        <v>200.7</v>
      </c>
      <c r="N474" s="8"/>
      <c r="O474" s="14"/>
      <c r="P474" s="145">
        <f t="shared" si="149"/>
        <v>178.2</v>
      </c>
      <c r="Q474" s="146">
        <v>178.2</v>
      </c>
      <c r="R474" s="146"/>
      <c r="S474" s="172"/>
      <c r="T474" s="179"/>
      <c r="U474" s="168"/>
      <c r="V474" s="169"/>
      <c r="W474" s="190"/>
    </row>
    <row r="475" spans="1:23" ht="25.5">
      <c r="A475" s="47" t="s">
        <v>27</v>
      </c>
      <c r="B475" s="78">
        <v>95</v>
      </c>
      <c r="C475" s="75">
        <v>15</v>
      </c>
      <c r="D475" s="19">
        <f t="shared" si="147"/>
        <v>0</v>
      </c>
      <c r="E475" s="8"/>
      <c r="F475" s="8"/>
      <c r="G475" s="18"/>
      <c r="H475" s="19"/>
      <c r="I475" s="8"/>
      <c r="J475" s="8"/>
      <c r="K475" s="18"/>
      <c r="L475" s="39">
        <f t="shared" si="148"/>
        <v>60.9</v>
      </c>
      <c r="M475" s="8"/>
      <c r="N475" s="8">
        <v>60.9</v>
      </c>
      <c r="O475" s="14"/>
      <c r="P475" s="145">
        <f t="shared" si="149"/>
        <v>0</v>
      </c>
      <c r="Q475" s="146"/>
      <c r="R475" s="146">
        <v>0</v>
      </c>
      <c r="S475" s="172"/>
      <c r="T475" s="179"/>
      <c r="U475" s="168"/>
      <c r="V475" s="169"/>
      <c r="W475" s="190"/>
    </row>
    <row r="476" spans="1:23" ht="25.5">
      <c r="A476" s="47" t="s">
        <v>22</v>
      </c>
      <c r="B476" s="78">
        <v>95</v>
      </c>
      <c r="C476" s="75">
        <v>19</v>
      </c>
      <c r="D476" s="19">
        <f t="shared" si="147"/>
        <v>71.9</v>
      </c>
      <c r="E476" s="8">
        <v>71.9</v>
      </c>
      <c r="F476" s="8"/>
      <c r="G476" s="18"/>
      <c r="H476" s="19"/>
      <c r="I476" s="8"/>
      <c r="J476" s="8"/>
      <c r="K476" s="18"/>
      <c r="L476" s="39">
        <f t="shared" si="148"/>
        <v>122.9</v>
      </c>
      <c r="M476" s="8">
        <v>122.9</v>
      </c>
      <c r="N476" s="8"/>
      <c r="O476" s="14"/>
      <c r="P476" s="145">
        <f t="shared" si="149"/>
        <v>94.3</v>
      </c>
      <c r="Q476" s="146">
        <v>94.3</v>
      </c>
      <c r="R476" s="146"/>
      <c r="S476" s="172"/>
      <c r="T476" s="179"/>
      <c r="U476" s="168"/>
      <c r="V476" s="169"/>
      <c r="W476" s="190"/>
    </row>
    <row r="477" spans="1:23" ht="25.5">
      <c r="A477" s="50" t="s">
        <v>23</v>
      </c>
      <c r="B477" s="81">
        <v>95</v>
      </c>
      <c r="C477" s="82">
        <v>20</v>
      </c>
      <c r="D477" s="26">
        <f t="shared" si="147"/>
        <v>2841.5</v>
      </c>
      <c r="E477" s="24">
        <f>2009.7+829.2+2.6</f>
        <v>2841.5</v>
      </c>
      <c r="F477" s="24"/>
      <c r="G477" s="25"/>
      <c r="H477" s="26"/>
      <c r="I477" s="24"/>
      <c r="J477" s="24"/>
      <c r="K477" s="25"/>
      <c r="L477" s="44">
        <f t="shared" si="148"/>
        <v>3483.7999999999997</v>
      </c>
      <c r="M477" s="24">
        <v>3412.7</v>
      </c>
      <c r="N477" s="24">
        <v>71.1</v>
      </c>
      <c r="O477" s="28"/>
      <c r="P477" s="155">
        <f t="shared" si="149"/>
        <v>2494.2</v>
      </c>
      <c r="Q477" s="156">
        <v>2494.2</v>
      </c>
      <c r="R477" s="156"/>
      <c r="S477" s="175"/>
      <c r="T477" s="183"/>
      <c r="U477" s="184"/>
      <c r="V477" s="186"/>
      <c r="W477" s="191"/>
    </row>
  </sheetData>
  <autoFilter ref="A10:AD477"/>
  <mergeCells count="31">
    <mergeCell ref="W5:W8"/>
    <mergeCell ref="T7:T8"/>
    <mergeCell ref="T5:V6"/>
    <mergeCell ref="U7:V7"/>
    <mergeCell ref="P5:P8"/>
    <mergeCell ref="Q5:S5"/>
    <mergeCell ref="Q6:Q8"/>
    <mergeCell ref="R6:R8"/>
    <mergeCell ref="S6:S8"/>
    <mergeCell ref="I6:I8"/>
    <mergeCell ref="J6:J8"/>
    <mergeCell ref="O6:O8"/>
    <mergeCell ref="K6:K8"/>
    <mergeCell ref="M6:M8"/>
    <mergeCell ref="N6:N8"/>
    <mergeCell ref="A3:W3"/>
    <mergeCell ref="A2:W2"/>
    <mergeCell ref="A1:W1"/>
    <mergeCell ref="A5:A8"/>
    <mergeCell ref="B5:C5"/>
    <mergeCell ref="D5:D8"/>
    <mergeCell ref="E5:G5"/>
    <mergeCell ref="L5:L8"/>
    <mergeCell ref="M5:O5"/>
    <mergeCell ref="B6:B8"/>
    <mergeCell ref="C6:C8"/>
    <mergeCell ref="E6:E8"/>
    <mergeCell ref="F6:F8"/>
    <mergeCell ref="G6:G8"/>
    <mergeCell ref="H5:H8"/>
    <mergeCell ref="I5:K5"/>
  </mergeCells>
  <printOptions/>
  <pageMargins left="0.15748031496062992" right="0.15748031496062992" top="0.31496062992125984" bottom="0.29" header="0.15748031496062992" footer="0.17"/>
  <pageSetup horizontalDpi="600" verticalDpi="600" orientation="landscape" paperSize="9" scale="58" r:id="rId1"/>
  <headerFooter alignWithMargins="0">
    <oddHeader>&amp;R&amp;"Times New Roman,Обычный"&amp;D &amp;T</oddHeader>
    <oddFooter>&amp;R&amp;"Times New Roman,обычный"&amp;P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F47"/>
  <sheetViews>
    <sheetView tabSelected="1" view="pageBreakPreview" zoomScale="60" zoomScalePageLayoutView="0" workbookViewId="0" topLeftCell="A1">
      <selection activeCell="N17" sqref="N17"/>
    </sheetView>
  </sheetViews>
  <sheetFormatPr defaultColWidth="9.00390625" defaultRowHeight="12.75"/>
  <cols>
    <col min="1" max="1" width="27.25390625" style="0" customWidth="1"/>
    <col min="2" max="2" width="11.00390625" style="0" customWidth="1"/>
    <col min="3" max="3" width="13.125" style="0" bestFit="1" customWidth="1"/>
    <col min="4" max="4" width="13.75390625" style="0" bestFit="1" customWidth="1"/>
    <col min="5" max="5" width="14.75390625" style="0" bestFit="1" customWidth="1"/>
    <col min="6" max="6" width="15.75390625" style="0" customWidth="1"/>
  </cols>
  <sheetData>
    <row r="1" spans="1:6" ht="12.75">
      <c r="A1" s="1"/>
      <c r="B1" s="1"/>
      <c r="C1" s="123"/>
      <c r="D1" s="123"/>
      <c r="E1" s="123"/>
      <c r="F1" s="205" t="s">
        <v>81</v>
      </c>
    </row>
    <row r="2" spans="1:6" ht="12.75">
      <c r="A2" s="1"/>
      <c r="B2" s="1"/>
      <c r="C2" s="123"/>
      <c r="D2" s="123"/>
      <c r="E2" s="123"/>
      <c r="F2" s="205" t="s">
        <v>82</v>
      </c>
    </row>
    <row r="3" spans="1:6" ht="12.75">
      <c r="A3" s="1"/>
      <c r="B3" s="1"/>
      <c r="C3" s="123"/>
      <c r="D3" s="123"/>
      <c r="E3" s="123"/>
      <c r="F3" s="206" t="s">
        <v>122</v>
      </c>
    </row>
    <row r="4" spans="1:6" ht="27" customHeight="1">
      <c r="A4" s="1"/>
      <c r="B4" s="1"/>
      <c r="C4" s="123"/>
      <c r="D4" s="123"/>
      <c r="E4" s="123"/>
      <c r="F4" s="206"/>
    </row>
    <row r="5" spans="1:6" ht="82.5" customHeight="1">
      <c r="A5" s="265" t="s">
        <v>123</v>
      </c>
      <c r="B5" s="265"/>
      <c r="C5" s="265"/>
      <c r="D5" s="265"/>
      <c r="E5" s="265"/>
      <c r="F5" s="265"/>
    </row>
    <row r="6" spans="1:6" ht="22.5">
      <c r="A6" s="196"/>
      <c r="B6" s="196"/>
      <c r="C6" s="207"/>
      <c r="D6" s="207"/>
      <c r="E6" s="207"/>
      <c r="F6" s="207"/>
    </row>
    <row r="7" spans="1:6" ht="57" customHeight="1">
      <c r="A7" s="266" t="s">
        <v>128</v>
      </c>
      <c r="B7" s="268" t="s">
        <v>127</v>
      </c>
      <c r="C7" s="270" t="s">
        <v>83</v>
      </c>
      <c r="D7" s="271"/>
      <c r="E7" s="270" t="s">
        <v>84</v>
      </c>
      <c r="F7" s="271"/>
    </row>
    <row r="8" spans="1:6" ht="33" customHeight="1">
      <c r="A8" s="267"/>
      <c r="B8" s="269"/>
      <c r="C8" s="220" t="s">
        <v>125</v>
      </c>
      <c r="D8" s="208" t="s">
        <v>124</v>
      </c>
      <c r="E8" s="220" t="s">
        <v>125</v>
      </c>
      <c r="F8" s="208" t="s">
        <v>124</v>
      </c>
    </row>
    <row r="9" spans="1:6" ht="12.75">
      <c r="A9" s="197">
        <v>1</v>
      </c>
      <c r="B9" s="198">
        <v>2</v>
      </c>
      <c r="C9" s="209">
        <v>3</v>
      </c>
      <c r="D9" s="210">
        <v>4</v>
      </c>
      <c r="E9" s="211">
        <v>5</v>
      </c>
      <c r="F9" s="210">
        <v>6</v>
      </c>
    </row>
    <row r="10" spans="1:6" ht="24" customHeight="1">
      <c r="A10" s="199" t="s">
        <v>85</v>
      </c>
      <c r="B10" s="200"/>
      <c r="C10" s="212">
        <f>SUM(C12:C46)</f>
        <v>127505</v>
      </c>
      <c r="D10" s="213">
        <f>SUM(D12:D46)</f>
        <v>95706</v>
      </c>
      <c r="E10" s="212">
        <f>SUM(E12:E46)</f>
        <v>4573874.199999999</v>
      </c>
      <c r="F10" s="213">
        <f>SUM(F12:F46)</f>
        <v>3452547</v>
      </c>
    </row>
    <row r="11" spans="1:6" s="226" customFormat="1" ht="15.75">
      <c r="A11" s="227" t="s">
        <v>4</v>
      </c>
      <c r="B11" s="221"/>
      <c r="C11" s="222"/>
      <c r="D11" s="223"/>
      <c r="E11" s="224"/>
      <c r="F11" s="225"/>
    </row>
    <row r="12" spans="1:6" ht="21.75" customHeight="1">
      <c r="A12" s="201" t="s">
        <v>86</v>
      </c>
      <c r="B12" s="204">
        <v>30</v>
      </c>
      <c r="C12" s="214">
        <v>2827</v>
      </c>
      <c r="D12" s="215">
        <v>2038</v>
      </c>
      <c r="E12" s="216">
        <v>107708.5</v>
      </c>
      <c r="F12" s="215">
        <v>80761.5</v>
      </c>
    </row>
    <row r="13" spans="1:6" ht="21.75" customHeight="1">
      <c r="A13" s="201" t="s">
        <v>87</v>
      </c>
      <c r="B13" s="204">
        <v>31</v>
      </c>
      <c r="C13" s="214">
        <v>1128</v>
      </c>
      <c r="D13" s="215">
        <v>779.5</v>
      </c>
      <c r="E13" s="216">
        <v>39856.1</v>
      </c>
      <c r="F13" s="215">
        <v>28286.5</v>
      </c>
    </row>
    <row r="14" spans="1:6" ht="21.75" customHeight="1">
      <c r="A14" s="201" t="s">
        <v>88</v>
      </c>
      <c r="B14" s="204">
        <v>32</v>
      </c>
      <c r="C14" s="214">
        <v>2923</v>
      </c>
      <c r="D14" s="215">
        <v>2217</v>
      </c>
      <c r="E14" s="216">
        <v>100438.3</v>
      </c>
      <c r="F14" s="215">
        <v>76218.6</v>
      </c>
    </row>
    <row r="15" spans="1:6" ht="21.75" customHeight="1">
      <c r="A15" s="201" t="s">
        <v>89</v>
      </c>
      <c r="B15" s="204">
        <v>34</v>
      </c>
      <c r="C15" s="214">
        <v>5136</v>
      </c>
      <c r="D15" s="215">
        <v>4032.5</v>
      </c>
      <c r="E15" s="216">
        <v>170395</v>
      </c>
      <c r="F15" s="215">
        <v>134558.7</v>
      </c>
    </row>
    <row r="16" spans="1:6" ht="21.75" customHeight="1">
      <c r="A16" s="201" t="s">
        <v>90</v>
      </c>
      <c r="B16" s="204">
        <v>36</v>
      </c>
      <c r="C16" s="214">
        <v>2932.5</v>
      </c>
      <c r="D16" s="215">
        <v>2276.5</v>
      </c>
      <c r="E16" s="216">
        <v>95832.8</v>
      </c>
      <c r="F16" s="215">
        <v>73418.8</v>
      </c>
    </row>
    <row r="17" spans="1:6" ht="21.75" customHeight="1">
      <c r="A17" s="201" t="s">
        <v>91</v>
      </c>
      <c r="B17" s="204">
        <v>38</v>
      </c>
      <c r="C17" s="214">
        <v>2602</v>
      </c>
      <c r="D17" s="215">
        <v>1845.5</v>
      </c>
      <c r="E17" s="216">
        <v>95616.1</v>
      </c>
      <c r="F17" s="215">
        <v>70328.3</v>
      </c>
    </row>
    <row r="18" spans="1:6" ht="21.75" customHeight="1">
      <c r="A18" s="201" t="s">
        <v>92</v>
      </c>
      <c r="B18" s="204">
        <v>40</v>
      </c>
      <c r="C18" s="214">
        <v>3947.5</v>
      </c>
      <c r="D18" s="215">
        <v>3005.5</v>
      </c>
      <c r="E18" s="216">
        <v>128953.4</v>
      </c>
      <c r="F18" s="215">
        <v>98235.6</v>
      </c>
    </row>
    <row r="19" spans="1:6" ht="21.75" customHeight="1">
      <c r="A19" s="201" t="s">
        <v>93</v>
      </c>
      <c r="B19" s="204">
        <v>44</v>
      </c>
      <c r="C19" s="214">
        <v>2232.5</v>
      </c>
      <c r="D19" s="215">
        <v>1606</v>
      </c>
      <c r="E19" s="216">
        <v>79081.4</v>
      </c>
      <c r="F19" s="215">
        <v>58273.1</v>
      </c>
    </row>
    <row r="20" spans="1:6" ht="21.75" customHeight="1">
      <c r="A20" s="201" t="s">
        <v>94</v>
      </c>
      <c r="B20" s="204">
        <v>48</v>
      </c>
      <c r="C20" s="214">
        <v>2983.5</v>
      </c>
      <c r="D20" s="215">
        <v>2206</v>
      </c>
      <c r="E20" s="216">
        <v>100809.3</v>
      </c>
      <c r="F20" s="215">
        <v>75744.1</v>
      </c>
    </row>
    <row r="21" spans="1:6" ht="21.75" customHeight="1">
      <c r="A21" s="201" t="s">
        <v>95</v>
      </c>
      <c r="B21" s="204">
        <v>50</v>
      </c>
      <c r="C21" s="214">
        <v>1797</v>
      </c>
      <c r="D21" s="215">
        <v>1204</v>
      </c>
      <c r="E21" s="216">
        <v>61450.8</v>
      </c>
      <c r="F21" s="215">
        <v>41723</v>
      </c>
    </row>
    <row r="22" spans="1:6" ht="21.75" customHeight="1">
      <c r="A22" s="201" t="s">
        <v>96</v>
      </c>
      <c r="B22" s="204">
        <v>52</v>
      </c>
      <c r="C22" s="214">
        <v>3167.5</v>
      </c>
      <c r="D22" s="215">
        <v>2309</v>
      </c>
      <c r="E22" s="216">
        <v>115850.9</v>
      </c>
      <c r="F22" s="215">
        <v>86993.3</v>
      </c>
    </row>
    <row r="23" spans="1:6" ht="21.75" customHeight="1">
      <c r="A23" s="201" t="s">
        <v>97</v>
      </c>
      <c r="B23" s="204">
        <v>53</v>
      </c>
      <c r="C23" s="214">
        <v>1389</v>
      </c>
      <c r="D23" s="215">
        <v>865</v>
      </c>
      <c r="E23" s="216">
        <v>57304.5</v>
      </c>
      <c r="F23" s="215">
        <v>35614.4</v>
      </c>
    </row>
    <row r="24" spans="1:6" ht="21.75" customHeight="1">
      <c r="A24" s="201" t="s">
        <v>98</v>
      </c>
      <c r="B24" s="204">
        <v>55</v>
      </c>
      <c r="C24" s="214">
        <v>3189</v>
      </c>
      <c r="D24" s="215">
        <v>2349</v>
      </c>
      <c r="E24" s="216">
        <v>109123.8</v>
      </c>
      <c r="F24" s="215">
        <v>81040.8</v>
      </c>
    </row>
    <row r="25" spans="1:6" ht="21.75" customHeight="1">
      <c r="A25" s="201" t="s">
        <v>99</v>
      </c>
      <c r="B25" s="204">
        <v>57</v>
      </c>
      <c r="C25" s="214">
        <v>3472</v>
      </c>
      <c r="D25" s="215">
        <v>2552</v>
      </c>
      <c r="E25" s="216">
        <v>126492.9</v>
      </c>
      <c r="F25" s="215">
        <v>96859.1</v>
      </c>
    </row>
    <row r="26" spans="1:6" ht="21.75" customHeight="1">
      <c r="A26" s="201" t="s">
        <v>100</v>
      </c>
      <c r="B26" s="204">
        <v>59</v>
      </c>
      <c r="C26" s="214">
        <v>3212</v>
      </c>
      <c r="D26" s="215">
        <v>2231.5</v>
      </c>
      <c r="E26" s="216">
        <v>115696.2</v>
      </c>
      <c r="F26" s="215">
        <v>82984.6</v>
      </c>
    </row>
    <row r="27" spans="1:6" ht="21.75" customHeight="1">
      <c r="A27" s="201" t="s">
        <v>101</v>
      </c>
      <c r="B27" s="204">
        <v>61</v>
      </c>
      <c r="C27" s="214">
        <v>2287</v>
      </c>
      <c r="D27" s="215">
        <v>1647</v>
      </c>
      <c r="E27" s="216">
        <v>83291</v>
      </c>
      <c r="F27" s="215">
        <v>62347</v>
      </c>
    </row>
    <row r="28" spans="1:6" ht="21.75" customHeight="1">
      <c r="A28" s="201" t="s">
        <v>102</v>
      </c>
      <c r="B28" s="204">
        <v>65</v>
      </c>
      <c r="C28" s="214">
        <v>4024.5</v>
      </c>
      <c r="D28" s="215">
        <v>2916</v>
      </c>
      <c r="E28" s="216">
        <v>139227</v>
      </c>
      <c r="F28" s="215">
        <v>102324.4</v>
      </c>
    </row>
    <row r="29" spans="1:6" ht="21.75" customHeight="1">
      <c r="A29" s="201" t="s">
        <v>103</v>
      </c>
      <c r="B29" s="204">
        <v>67</v>
      </c>
      <c r="C29" s="214">
        <v>3118.5</v>
      </c>
      <c r="D29" s="215">
        <v>2395.5</v>
      </c>
      <c r="E29" s="216">
        <v>115860.2</v>
      </c>
      <c r="F29" s="215">
        <v>91287.8</v>
      </c>
    </row>
    <row r="30" spans="1:6" ht="21.75" customHeight="1">
      <c r="A30" s="201" t="s">
        <v>104</v>
      </c>
      <c r="B30" s="204">
        <v>69</v>
      </c>
      <c r="C30" s="214">
        <v>2080.5</v>
      </c>
      <c r="D30" s="215">
        <v>1437.5</v>
      </c>
      <c r="E30" s="216">
        <v>72647.2</v>
      </c>
      <c r="F30" s="215">
        <v>51363.5</v>
      </c>
    </row>
    <row r="31" spans="1:6" ht="21.75" customHeight="1">
      <c r="A31" s="201" t="s">
        <v>105</v>
      </c>
      <c r="B31" s="204">
        <v>71</v>
      </c>
      <c r="C31" s="214">
        <v>2262.5</v>
      </c>
      <c r="D31" s="215">
        <v>1651</v>
      </c>
      <c r="E31" s="216">
        <v>79664.9</v>
      </c>
      <c r="F31" s="215">
        <v>59221.7</v>
      </c>
    </row>
    <row r="32" spans="1:6" ht="21.75" customHeight="1">
      <c r="A32" s="201" t="s">
        <v>106</v>
      </c>
      <c r="B32" s="204">
        <v>72</v>
      </c>
      <c r="C32" s="214">
        <v>1890</v>
      </c>
      <c r="D32" s="215">
        <v>1265.5</v>
      </c>
      <c r="E32" s="216">
        <v>64807.4</v>
      </c>
      <c r="F32" s="215">
        <v>43563.9</v>
      </c>
    </row>
    <row r="33" spans="1:6" ht="21.75" customHeight="1">
      <c r="A33" s="201" t="s">
        <v>107</v>
      </c>
      <c r="B33" s="204">
        <v>74</v>
      </c>
      <c r="C33" s="214">
        <v>4314</v>
      </c>
      <c r="D33" s="215">
        <v>3226.5</v>
      </c>
      <c r="E33" s="216">
        <v>142622.7</v>
      </c>
      <c r="F33" s="215">
        <v>107734.6</v>
      </c>
    </row>
    <row r="34" spans="1:6" ht="21.75" customHeight="1">
      <c r="A34" s="201" t="s">
        <v>108</v>
      </c>
      <c r="B34" s="204">
        <v>76</v>
      </c>
      <c r="C34" s="214">
        <v>2208.5</v>
      </c>
      <c r="D34" s="215">
        <v>1598</v>
      </c>
      <c r="E34" s="216">
        <v>74656.6</v>
      </c>
      <c r="F34" s="215">
        <v>53927.7</v>
      </c>
    </row>
    <row r="35" spans="1:6" ht="21.75" customHeight="1">
      <c r="A35" s="201" t="s">
        <v>109</v>
      </c>
      <c r="B35" s="204">
        <v>79</v>
      </c>
      <c r="C35" s="214">
        <v>2787.5</v>
      </c>
      <c r="D35" s="215">
        <v>2002.5</v>
      </c>
      <c r="E35" s="216">
        <v>94511.3</v>
      </c>
      <c r="F35" s="215">
        <v>68881.8</v>
      </c>
    </row>
    <row r="36" spans="1:6" ht="21.75" customHeight="1">
      <c r="A36" s="201" t="s">
        <v>110</v>
      </c>
      <c r="B36" s="204">
        <v>81</v>
      </c>
      <c r="C36" s="214">
        <v>3348</v>
      </c>
      <c r="D36" s="215">
        <v>2507.5</v>
      </c>
      <c r="E36" s="216">
        <v>118115</v>
      </c>
      <c r="F36" s="215">
        <v>91239.1</v>
      </c>
    </row>
    <row r="37" spans="1:6" ht="21.75" customHeight="1">
      <c r="A37" s="201" t="s">
        <v>111</v>
      </c>
      <c r="B37" s="204">
        <v>84</v>
      </c>
      <c r="C37" s="214">
        <v>3461</v>
      </c>
      <c r="D37" s="215">
        <v>2428.5</v>
      </c>
      <c r="E37" s="216">
        <v>124922.5</v>
      </c>
      <c r="F37" s="215">
        <v>91871.3</v>
      </c>
    </row>
    <row r="38" spans="1:6" ht="21.75" customHeight="1">
      <c r="A38" s="201" t="s">
        <v>112</v>
      </c>
      <c r="B38" s="204">
        <v>86</v>
      </c>
      <c r="C38" s="214">
        <v>3461.5</v>
      </c>
      <c r="D38" s="215">
        <v>2626</v>
      </c>
      <c r="E38" s="216">
        <v>119208.3</v>
      </c>
      <c r="F38" s="215">
        <v>91837.5</v>
      </c>
    </row>
    <row r="39" spans="1:6" ht="21.75" customHeight="1">
      <c r="A39" s="201" t="s">
        <v>113</v>
      </c>
      <c r="B39" s="204">
        <v>88</v>
      </c>
      <c r="C39" s="214">
        <v>1925.5</v>
      </c>
      <c r="D39" s="215">
        <v>1335</v>
      </c>
      <c r="E39" s="216">
        <v>65432</v>
      </c>
      <c r="F39" s="215">
        <v>46223.5</v>
      </c>
    </row>
    <row r="40" spans="1:6" ht="21.75" customHeight="1">
      <c r="A40" s="201" t="s">
        <v>114</v>
      </c>
      <c r="B40" s="204">
        <v>89</v>
      </c>
      <c r="C40" s="214">
        <v>3128</v>
      </c>
      <c r="D40" s="215">
        <v>2398</v>
      </c>
      <c r="E40" s="216">
        <v>109396.5</v>
      </c>
      <c r="F40" s="215">
        <v>85658.5</v>
      </c>
    </row>
    <row r="41" spans="1:6" ht="21.75" customHeight="1">
      <c r="A41" s="201" t="s">
        <v>115</v>
      </c>
      <c r="B41" s="204">
        <v>91</v>
      </c>
      <c r="C41" s="214">
        <v>2014.5</v>
      </c>
      <c r="D41" s="215">
        <v>1575.5</v>
      </c>
      <c r="E41" s="216">
        <v>64369.8</v>
      </c>
      <c r="F41" s="215">
        <v>49280.1</v>
      </c>
    </row>
    <row r="42" spans="1:6" ht="21.75" customHeight="1">
      <c r="A42" s="201" t="s">
        <v>116</v>
      </c>
      <c r="B42" s="204">
        <v>93</v>
      </c>
      <c r="C42" s="214">
        <v>2989</v>
      </c>
      <c r="D42" s="215">
        <v>2173.5</v>
      </c>
      <c r="E42" s="216">
        <v>102244.2</v>
      </c>
      <c r="F42" s="215">
        <v>76628.1</v>
      </c>
    </row>
    <row r="43" spans="1:6" ht="21.75" customHeight="1">
      <c r="A43" s="201" t="s">
        <v>117</v>
      </c>
      <c r="B43" s="204">
        <v>95</v>
      </c>
      <c r="C43" s="214">
        <v>4102</v>
      </c>
      <c r="D43" s="215">
        <v>3031.5</v>
      </c>
      <c r="E43" s="216">
        <v>151614.5</v>
      </c>
      <c r="F43" s="215">
        <v>117244.4</v>
      </c>
    </row>
    <row r="44" spans="1:6" ht="21.75" customHeight="1">
      <c r="A44" s="201" t="s">
        <v>118</v>
      </c>
      <c r="B44" s="204">
        <v>43</v>
      </c>
      <c r="C44" s="214">
        <v>6680.5</v>
      </c>
      <c r="D44" s="215">
        <v>5039</v>
      </c>
      <c r="E44" s="216">
        <v>231790.1</v>
      </c>
      <c r="F44" s="215">
        <v>175980.5</v>
      </c>
    </row>
    <row r="45" spans="1:6" ht="21.75" customHeight="1">
      <c r="A45" s="201" t="s">
        <v>119</v>
      </c>
      <c r="B45" s="204">
        <v>12</v>
      </c>
      <c r="C45" s="214">
        <v>4142.5</v>
      </c>
      <c r="D45" s="215">
        <v>3187</v>
      </c>
      <c r="E45" s="216">
        <v>149335.9</v>
      </c>
      <c r="F45" s="215">
        <v>114984.9</v>
      </c>
    </row>
    <row r="46" spans="1:6" ht="21.75" customHeight="1">
      <c r="A46" s="202" t="s">
        <v>120</v>
      </c>
      <c r="B46" s="203" t="s">
        <v>121</v>
      </c>
      <c r="C46" s="217">
        <v>24341</v>
      </c>
      <c r="D46" s="218">
        <v>19748</v>
      </c>
      <c r="E46" s="219">
        <v>965547.1</v>
      </c>
      <c r="F46" s="218">
        <v>749906.3</v>
      </c>
    </row>
    <row r="47" spans="1:6" ht="33.75" customHeight="1">
      <c r="A47" s="264" t="s">
        <v>126</v>
      </c>
      <c r="B47" s="264"/>
      <c r="C47" s="264"/>
      <c r="D47" s="264"/>
      <c r="E47" s="264"/>
      <c r="F47" s="264"/>
    </row>
  </sheetData>
  <sheetProtection/>
  <mergeCells count="6">
    <mergeCell ref="A47:F47"/>
    <mergeCell ref="A5:F5"/>
    <mergeCell ref="A7:A8"/>
    <mergeCell ref="B7:B8"/>
    <mergeCell ref="C7:D7"/>
    <mergeCell ref="E7:F7"/>
  </mergeCells>
  <printOptions/>
  <pageMargins left="0.58" right="0.6" top="0.31" bottom="0.52" header="0.31" footer="0.5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Bors</dc:creator>
  <cp:keywords/>
  <dc:description/>
  <cp:lastModifiedBy>langhel</cp:lastModifiedBy>
  <cp:lastPrinted>2012-03-03T12:46:17Z</cp:lastPrinted>
  <dcterms:created xsi:type="dcterms:W3CDTF">2011-08-22T08:27:50Z</dcterms:created>
  <dcterms:modified xsi:type="dcterms:W3CDTF">2012-03-07T11:29:59Z</dcterms:modified>
  <cp:category/>
  <cp:version/>
  <cp:contentType/>
  <cp:contentStatus/>
</cp:coreProperties>
</file>